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ур\Desktop\"/>
    </mc:Choice>
  </mc:AlternateContent>
  <xr:revisionPtr revIDLastSave="0" documentId="8_{3978950A-5319-124B-BF3B-0085DA2A2599}" xr6:coauthVersionLast="45" xr6:coauthVersionMax="45" xr10:uidLastSave="{00000000-0000-0000-0000-000000000000}"/>
  <bookViews>
    <workbookView xWindow="0" yWindow="0" windowWidth="28800" windowHeight="12435" xr2:uid="{00000000-000D-0000-FFFF-FFFF00000000}"/>
  </bookViews>
  <sheets>
    <sheet name="План закупок КФ &quot;СК-Астана&quot;кор" sheetId="5" r:id="rId1"/>
    <sheet name="Отчет о совместимости" sheetId="6" r:id="rId2"/>
  </sheets>
  <definedNames>
    <definedName name="_xlnm._FilterDatabase" localSheetId="0" hidden="1">'План закупок КФ "СК-Астана"кор'!$A$7:$V$7</definedName>
    <definedName name="_xlnm.Print_Area" localSheetId="0">'План закупок КФ "СК-Астана"кор'!$A$1:$V$94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9" i="5" l="1"/>
  <c r="R69" i="5"/>
  <c r="S66" i="5"/>
  <c r="R66" i="5"/>
  <c r="Q9" i="5"/>
  <c r="R9" i="5"/>
  <c r="Q10" i="5"/>
  <c r="R10" i="5"/>
  <c r="Q11" i="5"/>
  <c r="R11" i="5"/>
  <c r="Q12" i="5"/>
  <c r="R12" i="5"/>
  <c r="Q13" i="5"/>
  <c r="R13" i="5"/>
  <c r="Q14" i="5"/>
  <c r="R14" i="5"/>
  <c r="Q15" i="5"/>
  <c r="R15" i="5"/>
  <c r="Q16" i="5"/>
  <c r="R16" i="5"/>
  <c r="Q17" i="5"/>
  <c r="R17" i="5"/>
  <c r="Q18" i="5"/>
  <c r="R18" i="5"/>
  <c r="Q19" i="5"/>
  <c r="R19" i="5"/>
  <c r="Q20" i="5"/>
  <c r="R20" i="5"/>
  <c r="Q21" i="5"/>
  <c r="R21" i="5"/>
  <c r="Q22" i="5"/>
  <c r="R22" i="5"/>
  <c r="Q23" i="5"/>
  <c r="R23" i="5"/>
  <c r="Q24" i="5"/>
  <c r="R24" i="5"/>
  <c r="Q25" i="5"/>
  <c r="R25" i="5"/>
  <c r="Q26" i="5"/>
  <c r="R26" i="5"/>
  <c r="Q27" i="5"/>
  <c r="R27" i="5"/>
  <c r="Q28" i="5"/>
  <c r="R28" i="5"/>
  <c r="Q29" i="5"/>
  <c r="R29" i="5"/>
  <c r="Q30" i="5"/>
  <c r="R30" i="5"/>
  <c r="Q31" i="5"/>
  <c r="R31" i="5"/>
  <c r="Q32" i="5"/>
  <c r="R32" i="5"/>
  <c r="Q33" i="5"/>
  <c r="R33" i="5"/>
  <c r="Q34" i="5"/>
  <c r="R34" i="5"/>
  <c r="Q35" i="5"/>
  <c r="R35" i="5"/>
  <c r="Q36" i="5"/>
  <c r="R36" i="5"/>
  <c r="Q37" i="5"/>
  <c r="R37" i="5"/>
  <c r="Q38" i="5"/>
  <c r="R38" i="5"/>
  <c r="Q39" i="5"/>
  <c r="R39" i="5"/>
  <c r="Q40" i="5"/>
  <c r="R40" i="5"/>
  <c r="Q41" i="5"/>
  <c r="R41" i="5"/>
  <c r="Q42" i="5"/>
  <c r="R42" i="5"/>
  <c r="Q43" i="5"/>
  <c r="R43" i="5"/>
  <c r="Q44" i="5"/>
  <c r="R44" i="5"/>
  <c r="Q45" i="5"/>
  <c r="R45" i="5"/>
  <c r="Q46" i="5"/>
  <c r="R46" i="5"/>
  <c r="Q47" i="5"/>
  <c r="R47" i="5"/>
  <c r="Q48" i="5"/>
  <c r="R48" i="5"/>
  <c r="Q49" i="5"/>
  <c r="R49" i="5"/>
  <c r="Q50" i="5"/>
  <c r="R50" i="5"/>
  <c r="Q51" i="5"/>
  <c r="R51" i="5"/>
  <c r="Q52" i="5"/>
  <c r="R52" i="5"/>
  <c r="Q53" i="5"/>
  <c r="R53" i="5"/>
  <c r="Q54" i="5"/>
  <c r="R54" i="5"/>
  <c r="Q55" i="5"/>
  <c r="R55" i="5"/>
  <c r="Q56" i="5"/>
  <c r="R56" i="5"/>
  <c r="Q57" i="5"/>
  <c r="R57" i="5"/>
  <c r="R61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Q58" i="5"/>
  <c r="Q59" i="5"/>
  <c r="Q60" i="5"/>
  <c r="I60" i="5"/>
  <c r="I59" i="5"/>
  <c r="I58" i="5"/>
  <c r="I47" i="5"/>
  <c r="I46" i="5"/>
  <c r="I45" i="5"/>
  <c r="I44" i="5"/>
  <c r="I43" i="5"/>
  <c r="R92" i="5"/>
  <c r="R91" i="5"/>
  <c r="S88" i="5"/>
  <c r="S82" i="5"/>
  <c r="S93" i="5"/>
  <c r="R88" i="5"/>
  <c r="R81" i="5"/>
  <c r="R73" i="5"/>
  <c r="I23" i="5"/>
  <c r="I29" i="5"/>
  <c r="I19" i="5"/>
  <c r="I11" i="5"/>
  <c r="I12" i="5"/>
  <c r="I13" i="5"/>
  <c r="I14" i="5"/>
  <c r="I15" i="5"/>
  <c r="I16" i="5"/>
  <c r="I17" i="5"/>
  <c r="I18" i="5"/>
  <c r="I20" i="5"/>
  <c r="I21" i="5"/>
  <c r="I22" i="5"/>
  <c r="I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I25" i="5"/>
  <c r="M25" i="5"/>
  <c r="M26" i="5"/>
  <c r="N25" i="5"/>
  <c r="N26" i="5"/>
  <c r="I26" i="5"/>
  <c r="I27" i="5"/>
  <c r="I28" i="5"/>
  <c r="I30" i="5"/>
  <c r="I31" i="5"/>
  <c r="I32" i="5"/>
  <c r="I33" i="5"/>
  <c r="I34" i="5"/>
  <c r="I35" i="5"/>
  <c r="I36" i="5"/>
  <c r="I38" i="5"/>
  <c r="I39" i="5"/>
  <c r="I42" i="5"/>
  <c r="I53" i="5"/>
  <c r="I54" i="5"/>
  <c r="I55" i="5"/>
  <c r="I56" i="5"/>
  <c r="I57" i="5"/>
  <c r="R63" i="5"/>
  <c r="R64" i="5"/>
  <c r="R65" i="5"/>
  <c r="R67" i="5"/>
  <c r="R68" i="5"/>
  <c r="R71" i="5"/>
  <c r="R72" i="5"/>
  <c r="R74" i="5"/>
  <c r="R75" i="5"/>
  <c r="R76" i="5"/>
  <c r="R77" i="5"/>
  <c r="R78" i="5"/>
  <c r="R79" i="5"/>
  <c r="R83" i="5"/>
  <c r="R84" i="5"/>
  <c r="R85" i="5"/>
  <c r="R86" i="5"/>
  <c r="R87" i="5"/>
  <c r="N88" i="5"/>
  <c r="K89" i="5"/>
  <c r="K88" i="5"/>
  <c r="R89" i="5"/>
  <c r="R90" i="5"/>
  <c r="N29" i="5"/>
  <c r="N44" i="5"/>
  <c r="M29" i="5"/>
  <c r="M44" i="5"/>
  <c r="N28" i="5"/>
  <c r="N43" i="5"/>
  <c r="N42" i="5"/>
  <c r="M28" i="5"/>
  <c r="M43" i="5"/>
  <c r="M42" i="5"/>
  <c r="M56" i="5"/>
  <c r="R82" i="5"/>
  <c r="M30" i="5"/>
  <c r="M45" i="5"/>
  <c r="M31" i="5"/>
  <c r="M46" i="5"/>
  <c r="N30" i="5"/>
  <c r="N31" i="5"/>
  <c r="N32" i="5"/>
  <c r="N45" i="5"/>
  <c r="H48" i="5"/>
  <c r="H49" i="5"/>
  <c r="H50" i="5"/>
  <c r="H51" i="5"/>
  <c r="H43" i="5"/>
  <c r="H44" i="5"/>
  <c r="H45" i="5"/>
  <c r="H46" i="5"/>
  <c r="H47" i="5"/>
  <c r="N47" i="5"/>
  <c r="N33" i="5"/>
  <c r="N34" i="5"/>
  <c r="N35" i="5"/>
  <c r="N36" i="5"/>
  <c r="N38" i="5"/>
  <c r="N39" i="5"/>
  <c r="G48" i="5"/>
  <c r="G49" i="5"/>
  <c r="G50" i="5"/>
  <c r="G51" i="5"/>
  <c r="G43" i="5"/>
  <c r="G44" i="5"/>
  <c r="G45" i="5"/>
  <c r="G46" i="5"/>
  <c r="G47" i="5"/>
  <c r="M32" i="5"/>
  <c r="N46" i="5"/>
  <c r="N48" i="5"/>
  <c r="M47" i="5"/>
  <c r="M33" i="5"/>
  <c r="M34" i="5"/>
  <c r="M35" i="5"/>
  <c r="M36" i="5"/>
  <c r="M38" i="5"/>
  <c r="M39" i="5"/>
  <c r="G52" i="5"/>
  <c r="G54" i="5"/>
  <c r="G53" i="5"/>
  <c r="G55" i="5"/>
  <c r="G56" i="5"/>
  <c r="G57" i="5"/>
  <c r="G58" i="5"/>
  <c r="G59" i="5"/>
  <c r="G60" i="5"/>
  <c r="H53" i="5"/>
  <c r="H55" i="5"/>
  <c r="H56" i="5"/>
  <c r="H57" i="5"/>
  <c r="H58" i="5"/>
  <c r="H59" i="5"/>
  <c r="H60" i="5"/>
  <c r="H52" i="5"/>
  <c r="H54" i="5"/>
  <c r="R93" i="5"/>
  <c r="R94" i="5"/>
  <c r="S94" i="5"/>
</calcChain>
</file>

<file path=xl/sharedStrings.xml><?xml version="1.0" encoding="utf-8"?>
<sst xmlns="http://schemas.openxmlformats.org/spreadsheetml/2006/main" count="906" uniqueCount="359">
  <si>
    <t>№ п/п</t>
  </si>
  <si>
    <t>Наименование организации</t>
  </si>
  <si>
    <t>Код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</si>
  <si>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</si>
  <si>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 и т.д.</t>
  </si>
  <si>
    <t>Дополнительная характеристика</t>
  </si>
  <si>
    <t>Способ закупок</t>
  </si>
  <si>
    <t>Код КАТО места осуществления закупки</t>
  </si>
  <si>
    <t>Место (адрес)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</si>
  <si>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</si>
  <si>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</si>
  <si>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</si>
  <si>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</si>
  <si>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измерения</t>
  </si>
  <si>
    <t>Кол-во, объем</t>
  </si>
  <si>
    <t>Маркетинговая цена за единицу, тенге без НДС</t>
  </si>
  <si>
    <t>Сумма планируемая для закупок ТРУ без НДС, тенге</t>
  </si>
  <si>
    <t>Сумма планируемая для закупок ТРУ с НДС, тенге</t>
  </si>
  <si>
    <t xml:space="preserve">Приоритет закупки </t>
  </si>
  <si>
    <t>Год закупки</t>
  </si>
  <si>
    <t>Примечание</t>
  </si>
  <si>
    <t>1. Товары</t>
  </si>
  <si>
    <t>г. Астана</t>
  </si>
  <si>
    <t>DDP</t>
  </si>
  <si>
    <t>ОИ</t>
  </si>
  <si>
    <t>по факту</t>
  </si>
  <si>
    <t>итого по товарам</t>
  </si>
  <si>
    <t>х</t>
  </si>
  <si>
    <t>1у</t>
  </si>
  <si>
    <t>услуга</t>
  </si>
  <si>
    <t>2у</t>
  </si>
  <si>
    <t>3у</t>
  </si>
  <si>
    <t>ежемесячно</t>
  </si>
  <si>
    <t>4у</t>
  </si>
  <si>
    <t>5у</t>
  </si>
  <si>
    <t>6у</t>
  </si>
  <si>
    <t>7у</t>
  </si>
  <si>
    <t>8у</t>
  </si>
  <si>
    <t>9у</t>
  </si>
  <si>
    <t>итого по услугам</t>
  </si>
  <si>
    <t>Всего:</t>
  </si>
  <si>
    <t>ОТ</t>
  </si>
  <si>
    <t>1т</t>
  </si>
  <si>
    <t>12у</t>
  </si>
  <si>
    <t>14у</t>
  </si>
  <si>
    <t>16у</t>
  </si>
  <si>
    <t xml:space="preserve">   </t>
  </si>
  <si>
    <t>17у</t>
  </si>
  <si>
    <t>Услуги телекоммуникационные</t>
  </si>
  <si>
    <t>10у</t>
  </si>
  <si>
    <t>11у</t>
  </si>
  <si>
    <t>18у</t>
  </si>
  <si>
    <t>19у</t>
  </si>
  <si>
    <t>20у</t>
  </si>
  <si>
    <t>21у</t>
  </si>
  <si>
    <t>22у</t>
  </si>
  <si>
    <t>23у</t>
  </si>
  <si>
    <t>24у</t>
  </si>
  <si>
    <t>25у</t>
  </si>
  <si>
    <t>2т</t>
  </si>
  <si>
    <t>4т</t>
  </si>
  <si>
    <t>8т</t>
  </si>
  <si>
    <t>10т</t>
  </si>
  <si>
    <t>11т</t>
  </si>
  <si>
    <t>12т</t>
  </si>
  <si>
    <t>14т</t>
  </si>
  <si>
    <t>16т</t>
  </si>
  <si>
    <t>17т</t>
  </si>
  <si>
    <t>Бумага</t>
  </si>
  <si>
    <t>формат А4 500л. 80г/м2</t>
  </si>
  <si>
    <t>Калькулятор</t>
  </si>
  <si>
    <t>Ластик</t>
  </si>
  <si>
    <t>Файл А4</t>
  </si>
  <si>
    <t xml:space="preserve">Скоросшиватель </t>
  </si>
  <si>
    <t xml:space="preserve">Линейка </t>
  </si>
  <si>
    <t>Ластик, мягкий</t>
  </si>
  <si>
    <t>набор маркеров 4 цвета, пластиковый, скошенный, наконечник 1-5 мм, перманентный (нестираемый)</t>
  </si>
  <si>
    <t>Файл А4, из полипропиленовой пленки</t>
  </si>
  <si>
    <t>19т</t>
  </si>
  <si>
    <t>Услуги по размещению рекламных/информационных материалов в печатных материалах (кроме книг и периодических изданий)</t>
  </si>
  <si>
    <t>КФ «Samruk-Kazyna Trust»</t>
  </si>
  <si>
    <t>20т</t>
  </si>
  <si>
    <t>Индексы</t>
  </si>
  <si>
    <t>22т</t>
  </si>
  <si>
    <t>Клей</t>
  </si>
  <si>
    <t>Для заметок, формат блока 76*76 мм</t>
  </si>
  <si>
    <t>Канцелярский, карандаш</t>
  </si>
  <si>
    <t>Нож</t>
  </si>
  <si>
    <t>Макетный</t>
  </si>
  <si>
    <t>Скрепка</t>
  </si>
  <si>
    <t>Металлическая, размер 33 мм</t>
  </si>
  <si>
    <t>Конверты</t>
  </si>
  <si>
    <t>(230х330)</t>
  </si>
  <si>
    <t>Антистеплер</t>
  </si>
  <si>
    <t>Для скоб</t>
  </si>
  <si>
    <t>Степлер</t>
  </si>
  <si>
    <t>канцелярский, механический</t>
  </si>
  <si>
    <t>Ножницы</t>
  </si>
  <si>
    <t>Дырокол</t>
  </si>
  <si>
    <t>Канцелярский</t>
  </si>
  <si>
    <t>Штрих-корректор</t>
  </si>
  <si>
    <t>Точилка</t>
  </si>
  <si>
    <t>Пластиковая</t>
  </si>
  <si>
    <t>23т</t>
  </si>
  <si>
    <t>24т</t>
  </si>
  <si>
    <t>28т</t>
  </si>
  <si>
    <t>26т</t>
  </si>
  <si>
    <t>27т</t>
  </si>
  <si>
    <t>29т</t>
  </si>
  <si>
    <t>30т</t>
  </si>
  <si>
    <t>31т</t>
  </si>
  <si>
    <t>32т</t>
  </si>
  <si>
    <t>33т</t>
  </si>
  <si>
    <t>34т</t>
  </si>
  <si>
    <t>35т</t>
  </si>
  <si>
    <t>36т</t>
  </si>
  <si>
    <t xml:space="preserve">Услуги по технической поддержке Сайта </t>
  </si>
  <si>
    <t>Батарейка</t>
  </si>
  <si>
    <t>Тип ААА</t>
  </si>
  <si>
    <t>Лоток вертикальный - 6 секционный</t>
  </si>
  <si>
    <t>Лоток вертикальный - 6 секционный, серый, прозрачный, для бумаг, из пластмассы, вертикальный</t>
  </si>
  <si>
    <t>Корректирующая ручка</t>
  </si>
  <si>
    <t>7 мл. в блистере</t>
  </si>
  <si>
    <t>Регистратор А4, 80мм.</t>
  </si>
  <si>
    <t xml:space="preserve">Папка  </t>
  </si>
  <si>
    <t>Грифель</t>
  </si>
  <si>
    <t>Услуги полиграфические по изготовлению/печатанию полиграфической продукции (кроме книг, фото, периодических изданий)</t>
  </si>
  <si>
    <t>Монитор</t>
  </si>
  <si>
    <t>жидкокристаллический, диагональ 21 дюйм, разрешение 1440*900</t>
  </si>
  <si>
    <t>39т</t>
  </si>
  <si>
    <t>43т</t>
  </si>
  <si>
    <t>46т</t>
  </si>
  <si>
    <t>Настольный набор</t>
  </si>
  <si>
    <t>Журнал регистрации договоров</t>
  </si>
  <si>
    <t>172313.100.000004</t>
  </si>
  <si>
    <t>15у</t>
  </si>
  <si>
    <t>аванс 30%, по факту 70%</t>
  </si>
  <si>
    <t>26у</t>
  </si>
  <si>
    <t>27у</t>
  </si>
  <si>
    <t>28у</t>
  </si>
  <si>
    <t>Аванс 100%, 0% оплата по факту</t>
  </si>
  <si>
    <t>Отчет о совместимости для План закупок на 2018 год с изменениями от 14 июня.xls</t>
  </si>
  <si>
    <t>Дата отчета: 23.07.2018 11:11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</si>
  <si>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</si>
  <si>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</si>
  <si>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</si>
  <si>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</si>
  <si>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Книга содержит формулы, которые ссылаются на другие закрытые книги. Если связанные книги закрыты, то при пересчете в более ранних версиях Excel значения этих формул будут ограничены 255 знаками.</t>
  </si>
  <si>
    <t>План закупок КФ "СК-Астана"кор'!D84</t>
  </si>
  <si>
    <t>Excel 97–2003</t>
  </si>
  <si>
    <t>Услуги по по добровольному медицинскому страхованию</t>
  </si>
  <si>
    <t>г.Астана</t>
  </si>
  <si>
    <t>Компьютер</t>
  </si>
  <si>
    <t>Персональный компьютер</t>
  </si>
  <si>
    <t>Услуги по размещению рекламы и объявлений. Размещения объявления по тендерам в газете "Тендер.КЗ", размещение  отчета об использовании имущества в газете "Казахстанская правда".</t>
  </si>
  <si>
    <t>Услуги по подписке на печатные периодические издания</t>
  </si>
  <si>
    <t>Услуги по подписке на периодические издания (издание "Файл бухгалтера, "Бухучет на практике", "Кадры", "Бухгалтер и право")</t>
  </si>
  <si>
    <t>Антивирус</t>
  </si>
  <si>
    <t>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</si>
  <si>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910112.000.000002</t>
  </si>
  <si>
    <t>13у</t>
  </si>
  <si>
    <t>42т</t>
  </si>
  <si>
    <t>48т</t>
  </si>
  <si>
    <t>Операционная система Windows</t>
  </si>
  <si>
    <t>Программное обеспечение</t>
  </si>
  <si>
    <t>Прогноз местного содержания</t>
  </si>
  <si>
    <t>796 (штук)</t>
  </si>
  <si>
    <t>778 (упаковка)</t>
  </si>
  <si>
    <t>704 (набор)</t>
  </si>
  <si>
    <t>5111 (пачка)</t>
  </si>
  <si>
    <t>839 (комплект)</t>
  </si>
  <si>
    <t>апрель-май</t>
  </si>
  <si>
    <t>февраль-март</t>
  </si>
  <si>
    <t>январь-феваль</t>
  </si>
  <si>
    <t>ноябрь</t>
  </si>
  <si>
    <t>июнь-июль</t>
  </si>
  <si>
    <t>август</t>
  </si>
  <si>
    <t>март-апрель</t>
  </si>
  <si>
    <t>639910.000.000005</t>
  </si>
  <si>
    <t>581915.300.000000</t>
  </si>
  <si>
    <t>702110.000.000001</t>
  </si>
  <si>
    <t>823011.000.000000</t>
  </si>
  <si>
    <t>743011.000.000000</t>
  </si>
  <si>
    <t>620920.000.000015</t>
  </si>
  <si>
    <t>742023.000.000000</t>
  </si>
  <si>
    <t>620230.000.000003</t>
  </si>
  <si>
    <t>181219.900.000005</t>
  </si>
  <si>
    <t>749020.000.000009</t>
  </si>
  <si>
    <t>841311.000.000001</t>
  </si>
  <si>
    <t>531011.100.000000</t>
  </si>
  <si>
    <t>620920.000.000001</t>
  </si>
  <si>
    <t>493212.000.000000</t>
  </si>
  <si>
    <t>493931.000.000001</t>
  </si>
  <si>
    <t>682012.960.000000</t>
  </si>
  <si>
    <t>532011.110.000000</t>
  </si>
  <si>
    <t>619010.900.000003</t>
  </si>
  <si>
    <t>620129.000.000000</t>
  </si>
  <si>
    <t>262030.100.000044</t>
  </si>
  <si>
    <t>262017.100.000000</t>
  </si>
  <si>
    <t>262013.000.000011</t>
  </si>
  <si>
    <t>329915.300.000000</t>
  </si>
  <si>
    <t>222925.700.000027</t>
  </si>
  <si>
    <t>257113.350.000000</t>
  </si>
  <si>
    <t xml:space="preserve">329959.900.000066 </t>
  </si>
  <si>
    <t>329959.900.000067</t>
  </si>
  <si>
    <t>282323.900.000005</t>
  </si>
  <si>
    <t>282323.900.000002</t>
  </si>
  <si>
    <t>282323.900.000008</t>
  </si>
  <si>
    <t>172312.300.000001</t>
  </si>
  <si>
    <t>259923.500.000005</t>
  </si>
  <si>
    <t>257111.910.000000</t>
  </si>
  <si>
    <t>257111.390.000006</t>
  </si>
  <si>
    <t>205210.900.000026</t>
  </si>
  <si>
    <t>172312.700.000000</t>
  </si>
  <si>
    <t>172313.500.000001</t>
  </si>
  <si>
    <t>272011.900.000003</t>
  </si>
  <si>
    <t>329959.900.000018</t>
  </si>
  <si>
    <t>222929.900.000142</t>
  </si>
  <si>
    <t>265132.500.000000</t>
  </si>
  <si>
    <t>222925.900.000003</t>
  </si>
  <si>
    <t>329912.130.000000</t>
  </si>
  <si>
    <t>222925.500.000012</t>
  </si>
  <si>
    <t>329915.100.000000</t>
  </si>
  <si>
    <t>221973.210.000000</t>
  </si>
  <si>
    <t>282312.100.000001</t>
  </si>
  <si>
    <t>172314.500.000002</t>
  </si>
  <si>
    <t>329959.900.000036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</si>
  <si>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</si>
  <si>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Услуги по ускоренной/курьерской почтовой связи</t>
  </si>
  <si>
    <t>Услуги по аренде административных/производственных помещений</t>
  </si>
  <si>
    <t>Услуги по аренде микроавтобуса</t>
  </si>
  <si>
    <t>Услуги по аренде микроавтобуса с водителем:       служебный - 1 микроавтобус</t>
  </si>
  <si>
    <t>Услуги по аренде легковых автомобилей</t>
  </si>
  <si>
    <t>Услуги по администрированию и техническому обслуживанию программного обеспечения</t>
  </si>
  <si>
    <t xml:space="preserve">     620230.000.000002</t>
  </si>
  <si>
    <t>Услуги по техническому обслуживанию серверного оборудования</t>
  </si>
  <si>
    <t xml:space="preserve">620312.000.000000 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</si>
  <si>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</si>
  <si>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</si>
  <si>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</si>
  <si>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по ведению документооборота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</si>
  <si>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</si>
  <si>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</si>
  <si>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749020.000.000010</t>
  </si>
  <si>
    <t>Услуги по страхованию от несчастных случаев</t>
  </si>
  <si>
    <t xml:space="preserve">Услуги по по добровольному медицинскому страхованию
</t>
  </si>
  <si>
    <t>639910.000.000002</t>
  </si>
  <si>
    <t>Услуги информационного мониторинга</t>
  </si>
  <si>
    <t>Услуги по фото/видеосъемке</t>
  </si>
  <si>
    <t xml:space="preserve">Услуги по технической поддержке Сайта                                                 </t>
  </si>
  <si>
    <r>
      <t xml:space="preserve">Услуги информационного мониторинга СМИ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</si>
  <si>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t>Услуги графических дизайнеров</t>
  </si>
  <si>
    <t>Услуги переводческие</t>
  </si>
  <si>
    <r>
      <rPr>
        <b/>
        <sz val="12"/>
        <color indexed="8"/>
        <rFont val="Times New Roman"/>
        <family val="1"/>
        <charset val="204"/>
      </rPr>
      <t xml:space="preserve">                </t>
    </r>
    <r>
      <rPr>
        <sz val="12"/>
        <color indexed="8"/>
        <rFont val="Times New Roman"/>
        <family val="1"/>
        <charset val="204"/>
      </rPr>
      <t xml:space="preserve">Услуги переводческие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</si>
  <si>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</si>
  <si>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 </t>
  </si>
  <si>
    <t xml:space="preserve">Услуги по информационному и имиджевому сопровождению </t>
  </si>
  <si>
    <t xml:space="preserve">Услуги по информационному и имиджевому сопровождению                             </t>
  </si>
  <si>
    <t>Услуги по обработке информации</t>
  </si>
  <si>
    <t>Услуги по обработке информации/данных/материалов и аналогичное</t>
  </si>
  <si>
    <t>Стол</t>
  </si>
  <si>
    <t>310011.500.000006</t>
  </si>
  <si>
    <t>Кресло</t>
  </si>
  <si>
    <t>г. Астана, ул. Е10, дом 17/10</t>
  </si>
  <si>
    <t>29у</t>
  </si>
  <si>
    <t>773311.900.000000</t>
  </si>
  <si>
    <t>Услуги по аренде офисной оргтехники</t>
  </si>
  <si>
    <t>Короб</t>
  </si>
  <si>
    <t>для хранения документов, картонный</t>
  </si>
  <si>
    <t>172313.900.000000</t>
  </si>
  <si>
    <t>октябрь-ноябрь</t>
  </si>
  <si>
    <t>310112.500.000000</t>
  </si>
  <si>
    <t>Тумба</t>
  </si>
  <si>
    <t>310112.530.000000</t>
  </si>
  <si>
    <t>Стол офисный</t>
  </si>
  <si>
    <t xml:space="preserve"> </t>
  </si>
  <si>
    <t>Тумба офисная</t>
  </si>
  <si>
    <t>декабрь</t>
  </si>
  <si>
    <t>формат А4 500л. 220г/м2</t>
  </si>
  <si>
    <t>письменный</t>
  </si>
  <si>
    <t>Простой</t>
  </si>
  <si>
    <t>Карандаш</t>
  </si>
  <si>
    <t>Измерительная</t>
  </si>
  <si>
    <t>Маркер</t>
  </si>
  <si>
    <t>Ручка канцелярская</t>
  </si>
  <si>
    <t>Шариковая</t>
  </si>
  <si>
    <t>(110 х 220 мм)</t>
  </si>
  <si>
    <t>Самоклеющиеся, в наборе, 25*45</t>
  </si>
  <si>
    <t>Самоклеющиеся, в наборе, 45*12</t>
  </si>
  <si>
    <t>Металлическая, размер 28 мм</t>
  </si>
  <si>
    <t>С пластиковой ручкой</t>
  </si>
  <si>
    <t>Грифель черный 16 мм</t>
  </si>
  <si>
    <t>Скоросшиватель картон, А4 (картонный)</t>
  </si>
  <si>
    <t>Скоросшиватель картон, картонный, формат А4 (пластиковый)</t>
  </si>
  <si>
    <t>2. Услуга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</si>
  <si>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</si>
  <si>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</si>
  <si>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</si>
  <si>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910112.000.000000</t>
  </si>
  <si>
    <t>Услуги по ведению архивных документов</t>
  </si>
  <si>
    <t>731119.900.000004</t>
  </si>
  <si>
    <t>Услуги по проведению маркетинговых кампаний</t>
  </si>
  <si>
    <t>931919.900.000000</t>
  </si>
  <si>
    <t>Услуги по размещению информационных материалов в средствах массовой информации</t>
  </si>
  <si>
    <t>Операционная система Microsoft office</t>
  </si>
  <si>
    <t>267019.300.000000</t>
  </si>
  <si>
    <t>Штатив</t>
  </si>
  <si>
    <t>Для видеокамеры</t>
  </si>
  <si>
    <t>259923.500.000006</t>
  </si>
  <si>
    <t>Скоба</t>
  </si>
  <si>
    <t>для канцелярских целей, проволочная №10</t>
  </si>
  <si>
    <t>для канцелярских целей, проволочная №24/6</t>
  </si>
  <si>
    <t>для канцелярских целей, проволочная №23/13</t>
  </si>
  <si>
    <t>3т</t>
  </si>
  <si>
    <t>5т</t>
  </si>
  <si>
    <t>6т</t>
  </si>
  <si>
    <t>7т</t>
  </si>
  <si>
    <t>9т</t>
  </si>
  <si>
    <t>13т</t>
  </si>
  <si>
    <t>15т</t>
  </si>
  <si>
    <t>18т</t>
  </si>
  <si>
    <t>21т</t>
  </si>
  <si>
    <t>25т</t>
  </si>
  <si>
    <t>37т</t>
  </si>
  <si>
    <t>38т</t>
  </si>
  <si>
    <t>40т</t>
  </si>
  <si>
    <t>41т</t>
  </si>
  <si>
    <t>44т</t>
  </si>
  <si>
    <t>45т</t>
  </si>
  <si>
    <t>47т</t>
  </si>
  <si>
    <t>49т</t>
  </si>
  <si>
    <t xml:space="preserve"> Утвержден приказом Генерального директора  Корпоративного фонда "Samruk-Kazyna Trust"  от "___" декабря 2019 г. </t>
  </si>
  <si>
    <t>План закупок товаров, работ и услуг Корпоративного фонда «Samruk-Kazyna Trust» на 2020 год</t>
  </si>
  <si>
    <t>329959.900.000081</t>
  </si>
  <si>
    <t>Скотч</t>
  </si>
  <si>
    <t>48 мм.Х66м.прозрачный</t>
  </si>
  <si>
    <t>18 мм.Х56м.прозрачный</t>
  </si>
  <si>
    <t>Услуги по аренде легковых автомобилей с водителем:  дежурный автомобиль - 1 легковой автомобиль</t>
  </si>
  <si>
    <t xml:space="preserve">Услуги по аренде легковых автомобилей с водителем: служебный - 1   легковой автомобиль </t>
  </si>
  <si>
    <t>50т</t>
  </si>
  <si>
    <t>51т</t>
  </si>
  <si>
    <t>52т</t>
  </si>
  <si>
    <t>262013.000.000016</t>
  </si>
  <si>
    <t>Сервер</t>
  </si>
  <si>
    <t>Общего назначения, высокопроизводительный с вертикальным масштабированием ресурсов</t>
  </si>
  <si>
    <t>Оборудование система телекоммуникаций</t>
  </si>
  <si>
    <t>262011.100.000001</t>
  </si>
  <si>
    <t>Ноутбук</t>
  </si>
  <si>
    <t>Среднего класса</t>
  </si>
  <si>
    <t>с изменением и дополнением, утвержденными приказом от "____"__________ 2020 г. №_____</t>
  </si>
  <si>
    <t>263023.900.000010</t>
  </si>
  <si>
    <t>Для проведения видеоконференций</t>
  </si>
  <si>
    <t>30у</t>
  </si>
  <si>
    <t>702220.000.000000</t>
  </si>
  <si>
    <t>Услуги аутсорсинга бизнес-процесса</t>
  </si>
  <si>
    <t>Услуги аутсорсинга бизнес-процесса, не относящихся к основной деятельности Компании ( не более одного процесса)</t>
  </si>
  <si>
    <t>сентябрь-октябрь</t>
  </si>
  <si>
    <t>ноябрь-декабрь</t>
  </si>
  <si>
    <t>июль-декабрь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</si>
</sst>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13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4" fillId="0" borderId="0"/>
  </cellStyleXfs>
  <cellXfs count="53">
    <xf numFmtId="0" fontId="0" fillId="0" borderId="0" xfId="0"/>
    <xf numFmtId="0" fontId="0" fillId="0" borderId="0" xfId="0" applyFill="1" applyBorder="1"/>
    <xf numFmtId="3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6" fillId="0" borderId="0" xfId="0" applyFont="1" applyFill="1"/>
    <xf numFmtId="0" fontId="5" fillId="0" borderId="0" xfId="0" applyFont="1" applyFill="1"/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6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12" fillId="0" borderId="4" xfId="1" quotePrefix="1" applyNumberFormat="1" applyBorder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1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/>
    <xf numFmtId="3" fontId="9" fillId="0" borderId="7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stru.kz/code.jsp?&amp;t=%D0%B4%D0%B8%D0%B7%D0%B0%D0%B9%D0%BD%D0%B5%D1%80&amp;s=common&amp;st=goods&amp;p=10&amp;n=0&amp;S=62%2E09%2E20%2E000&amp;N=%D0%A3%D1%81%D0%BB%D1%83%D0%B3%D0%B8%20%D0%B3%D1%80%D0%B0%D1%84%D0%B8%D1%87%D0%B5%D1%81%D0%BA%D0%B8%D1%85%20%D0%B4%D0%B8%D0%B7%D0%B0%D0%B9%D0%BD%D0%B5%D1%80%D0%BE%D0%B2&amp;fc=1&amp;fg=0&amp;new=62.09.20.000.014.00.0777.000000000000" TargetMode="External" /><Relationship Id="rId13" Type="http://schemas.openxmlformats.org/officeDocument/2006/relationships/hyperlink" Target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TargetMode="External" /><Relationship Id="rId18" Type="http://schemas.openxmlformats.org/officeDocument/2006/relationships/hyperlink" Target="https://enstru.kz/code_new.jsp?&amp;t=%D1%81%D0%B2%D1%8F%D0%B7%D1%8C&amp;s=common&amp;p=10&amp;n=0&amp;S=263030%2E900&amp;N=%D0%9E%D0%B1%D0%BE%D1%80%D1%83%D0%B4%D0%BE%D0%B2%D0%B0%D0%BD%D0%B8%D0%B5%20%D1%81%D0%B8%D1%81%D1%82%D0%B5%D0%BC%D0%B0%20%D1%82%D0%B5%D0%BB%D0%B5%D0%BA%D0%BE%D0%BC%D0%BC%D1%83%D0%BD%D0%B8%D0%BA%D0%B0%D1%86%D0%B8%D0%B9&amp;fc=1&amp;fg=1&amp;new=263030.900.000165" TargetMode="External" /><Relationship Id="rId3" Type="http://schemas.openxmlformats.org/officeDocument/2006/relationships/hyperlink" Target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 TargetMode="External" /><Relationship Id="rId7" Type="http://schemas.openxmlformats.org/officeDocument/2006/relationships/hyperlink" Target="https://enstru.kz/code_new.jsp?&amp;t=%D0%BA%D0%BE%D1%80%D0%BE%D0%B1%20%D0%B4%D0%BB%D1%8F%20%D1%85%D1%80%D0%B0%D0%BD%D0%B5%D0%BD%D0%B8%D1%8F%20%D0%B4%D0%BE%D0%BA%D1%83%D0%BC%D0%B5%D0%BD%D1%82%D0%BE%D0%B2%20%D0%BA%D0%B0%D1%80%D1%82%D0%BE%D0%BD%D0%BD%D1%8B%D0%B9&amp;s=common&amp;p=10&amp;n=0&amp;S=172313%2E900&amp;N=%D0%9A%D0%BE%D1%80%D0%BE%D0%B1&amp;fc=1&amp;fg=1&amp;new=172313.900.000000" TargetMode="External" /><Relationship Id="rId12" Type="http://schemas.openxmlformats.org/officeDocument/2006/relationships/hyperlink" Target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 TargetMode="External" /><Relationship Id="rId17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 /><Relationship Id="rId2" Type="http://schemas.openxmlformats.org/officeDocument/2006/relationships/hyperlink" Target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 TargetMode="External" /><Relationship Id="rId16" Type="http://schemas.openxmlformats.org/officeDocument/2006/relationships/hyperlink" Target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TargetMode="External" /><Relationship Id="rId20" Type="http://schemas.openxmlformats.org/officeDocument/2006/relationships/printerSettings" Target="../printerSettings/printerSettings1.bin" /><Relationship Id="rId1" Type="http://schemas.openxmlformats.org/officeDocument/2006/relationships/hyperlink" Target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 TargetMode="External" /><Relationship Id="rId6" Type="http://schemas.openxmlformats.org/officeDocument/2006/relationships/hyperlink" Target="https://enstru.kz/code_new.jsp?&amp;t=%D1%81%D0%B5%D1%80%D0%B2%D0%B5%D1%80&amp;s=common&amp;p=10&amp;n=0&amp;S=620230%2E000&amp;N=%D0%A3%D1%81%D0%BB%D1%83%D0%B3%D0%B8%20%D0%BF%D0%BE%20%D1%82%D0%B5%D1%85%D0%BD%D0%B8%D1%87%D0%B5%D1%81%D0%BA%D0%BE%D0%BC%D1%83%20%D0%BE%D0%B1%D1%81%D0%BB%D1%83%D0%B6%D0%B8%D0%B2%D0%B0%D0%BD%D0%B8%D1%8E%20%D1%81%D0%B5%D1%80%D0%B2%D0%B5%D1%80%D0%BD%D0%BE%D0%B3%D0%BE%20%D0%BE%D0%B1%D0%BE%D1%80%D1%83%D0%B4%D0%BE%D0%B2%D0%B0%D0%BD%D0%B8%D1%8F&amp;fn=on&amp;fc=1&amp;fg=0&amp;new=620230.000.000002" TargetMode="External" /><Relationship Id="rId11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 /><Relationship Id="rId5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 /><Relationship Id="rId15" Type="http://schemas.openxmlformats.org/officeDocument/2006/relationships/hyperlink" Target="https://enstru.kz/code_new.jsp?&amp;t=%D0%A3%D1%81%D0%BB%D1%83%D0%B3%D0%B8%20%D0%BF%D0%BE%20%D0%BF%D1%80%D0%BE%D0%B2%D0%B5%D0%B4%D0%B5%D0%BD%D0%B8%D1%8E%20%D0%BC%D0%B0%D1%80%D0%BA%D0%B5%D1%82%D0%B8%D0%BD%D0%B3%D0%BE%D0%B2%D1%8B%D1%85%20%D0%BA%D0%B0%D0%BC%D0%BF%D0%B0%D0%BD%D0%B8%D0%B9%20%D0%A3%D1%81%D0%BB%D1%83%D0%B3%D0%B8%20%D0%BF%D0%BE%20%D0%BF%D1%80%D0%BE%D0%B2%D0%B5%D0%B4%D0%B5%D0%BD%D0%B8%D1%8E%20%D0%BC%D0%B0%D1%80%D0%BA%D0%B5%D1%82%D0%B8%D0%BD%D0%B3%D0%BE%D0%B2%D1%8B%D1%85%20%D0%B8%20%D0%B0%D0%BD%D0%B0%D0%BB%D0%BE%D0%B3%D0%B8%D1%87%D0%BD%D1%8B%D1%85%20%D0%BA%D0%B0%D0%BC%D0%BF%D0%B0%D0%BD%D0%B8%D0%B9%20%D0%A3%D1%81%D0%BB%D1%83%D0%B3%D0%B8%20%D0%B2%20%D0%BE%D0%B1%D0%BB%D0%B0%D1%81%D1%82%D0%B8%20%D1%80%D0%B5%D0%BA%D0%BB%D0%B0%D0%BC%D1%8B&amp;s=common&amp;p=10&amp;n=0&amp;S=731119%2E900&amp;N=%D0%A3%D1%81%D0%BB%D1%83%D0%B3%D0%B8%20%D0%BF%D0%BE%20%D0%BF%D1%80%D0%BE%D0%B2%D0%B5%D0%B4%D0%B5%D0%BD%D0%B8%D1%8E%20%D0%BC%D0%B0%D1%80%D0%BA%D0%B5%D1%82%D0%B8%D0%BD%D0%B3%D0%BE%D0%B2%D1%8B%D1%85%20%D0%BA%D0%B0%D0%BC%D0%BF%D0%B0%D0%BD%D0%B8%D0%B9&amp;fc=1&amp;fg=0&amp;new=731119.900.000004" TargetMode="External" /><Relationship Id="rId10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 /><Relationship Id="rId19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 /><Relationship Id="rId4" Type="http://schemas.openxmlformats.org/officeDocument/2006/relationships/hyperlink" Target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TargetMode="External" /><Relationship Id="rId9" Type="http://schemas.openxmlformats.org/officeDocument/2006/relationships/hyperlink" Target="https://enstru.kz/code_new.jsp?&amp;t=%D0%A3%D0%BD%D0%B8%D1%87%D1%82%D0%BE%D0%B6%D0%B8%D1%82%D0%B5%D0%BB%D1%8C%20%D0%B1%D1%83%D0%BC%D0%B0%D0%B3%D0%B8%20%D0%B8%20%D0%B4%D0%B8%D1%81%D0%BA%D0%BE%D0%B2%20%D1%81%D1%82%D0%B5%D0%BF%D0%B5%D0%BD%D1%8C%20%D1%81%D0%B5%D0%BA%D1%80%D0%B5%D1%82%D0%BD%D0%BE%D1%81%D1%82%D0%B8%201&amp;s=common&amp;p=10&amp;n=0&amp;S=262030%2E100&amp;N=%D0%A3%D0%BD%D0%B8%D1%87%D1%82%D0%BE%D0%B6%D0%B8%D1%82%D0%B5%D0%BB%D1%8C%20%D0%B1%D1%83%D0%BC%D0%B0%D0%B3%D0%B8%20%D0%B8%20%D0%B4%D0%B8%D1%81%D0%BA%D0%BE%D0%B2&amp;fc=1&amp;fg=1&amp;new=262030.100.000025" TargetMode="External" /><Relationship Id="rId14" Type="http://schemas.openxmlformats.org/officeDocument/2006/relationships/hyperlink" Target="https://enstru.kz/code_new.jsp?&amp;t=%D0%B0%D1%80%D1%85%D0%B8%D0%B2&amp;s=common&amp;p=10&amp;n=0&amp;S=910112%2E000&amp;N=%D0%A3%D1%81%D0%BB%D1%83%D0%B3%D0%B8%20%D0%BF%D0%BE%20%D0%B2%D0%B5%D0%B4%D0%B5%D0%BD%D0%B8%D1%8E%20%D0%B0%D1%80%D1%85%D0%B8%D0%B2%D0%BD%D1%8B%D1%85%20%D0%B4%D0%BE%D0%BA%D1%83%D0%BC%D0%B5%D0%BD%D1%82%D0%BE%D0%B2&amp;fc=1&amp;fg=0&amp;new=910112.000.000000" TargetMode="Externa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3"/>
  <sheetViews>
    <sheetView tabSelected="1" topLeftCell="A52" zoomScale="70" zoomScaleNormal="70" zoomScaleSheetLayoutView="70" workbookViewId="0">
      <selection activeCell="E87" sqref="E87"/>
    </sheetView>
  </sheetViews>
  <sheetFormatPr defaultColWidth="9.16796875" defaultRowHeight="12.75"/>
  <cols>
    <col min="1" max="1" width="5.796875" style="4" customWidth="1"/>
    <col min="2" max="2" width="19.41796875" style="4" customWidth="1"/>
    <col min="3" max="3" width="21.7109375" style="4" customWidth="1"/>
    <col min="4" max="4" width="32.09375" style="4" customWidth="1"/>
    <col min="5" max="5" width="49.48828125" style="4" customWidth="1"/>
    <col min="6" max="6" width="31.41796875" style="4" customWidth="1"/>
    <col min="7" max="7" width="12.67578125" style="4" customWidth="1"/>
    <col min="8" max="8" width="13.75390625" style="4" customWidth="1"/>
    <col min="9" max="9" width="12.80859375" style="4" customWidth="1"/>
    <col min="10" max="10" width="16.1796875" style="4" customWidth="1"/>
    <col min="11" max="11" width="15.1015625" style="4" customWidth="1"/>
    <col min="12" max="12" width="12.13671875" style="4" customWidth="1"/>
    <col min="13" max="13" width="13.484375" style="4" customWidth="1"/>
    <col min="14" max="15" width="15.5078125" style="7" customWidth="1"/>
    <col min="16" max="16" width="11.4609375" style="7" customWidth="1"/>
    <col min="17" max="17" width="14.83203125" style="7" customWidth="1"/>
    <col min="18" max="18" width="15.37109375" style="7" customWidth="1"/>
    <col min="19" max="19" width="15.1015625" style="7" customWidth="1"/>
    <col min="20" max="20" width="12.5390625" style="7" customWidth="1"/>
    <col min="21" max="21" width="17.2578125" style="7" customWidth="1"/>
    <col min="22" max="22" width="17.80078125" style="7" customWidth="1"/>
    <col min="23" max="23" width="12.40625" style="4" customWidth="1"/>
    <col min="24" max="24" width="9.4375" style="4" customWidth="1"/>
    <col min="25" max="25" width="7.28125" style="4" customWidth="1"/>
    <col min="26" max="26" width="10.65234375" style="1" customWidth="1"/>
    <col min="27" max="27" width="9.16796875" style="1"/>
    <col min="28" max="16384" width="9.16796875" style="4"/>
  </cols>
  <sheetData>
    <row r="1" spans="1:27" ht="21.75" customHeight="1">
      <c r="A1" s="9"/>
      <c r="B1" s="9"/>
      <c r="C1" s="8"/>
      <c r="D1" s="9"/>
      <c r="E1" s="9"/>
      <c r="F1" s="9"/>
      <c r="G1" s="9"/>
      <c r="H1" s="30"/>
      <c r="I1" s="30"/>
      <c r="J1" s="52" t="s">
        <v>331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1"/>
      <c r="X1" s="51"/>
      <c r="Y1" s="31"/>
    </row>
    <row r="2" spans="1:27" ht="14.25">
      <c r="A2" s="9"/>
      <c r="B2" s="9"/>
      <c r="C2" s="8"/>
      <c r="D2" s="9"/>
      <c r="E2" s="9"/>
      <c r="F2" s="9"/>
      <c r="G2" s="9"/>
      <c r="H2" s="30"/>
      <c r="I2" s="30"/>
      <c r="J2" s="30"/>
      <c r="K2" s="30"/>
      <c r="L2" s="30"/>
      <c r="M2" s="30"/>
      <c r="N2" s="51" t="s">
        <v>349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30"/>
    </row>
    <row r="3" spans="1:27" ht="14.25">
      <c r="A3" s="9"/>
      <c r="B3" s="9"/>
      <c r="C3" s="8"/>
      <c r="D3" s="9"/>
      <c r="E3" s="9"/>
      <c r="F3" s="9"/>
      <c r="G3" s="9"/>
      <c r="H3" s="30"/>
      <c r="I3" s="30"/>
      <c r="J3" s="30"/>
      <c r="K3" s="30"/>
      <c r="L3" s="30"/>
      <c r="M3" s="30"/>
      <c r="N3" s="46"/>
      <c r="O3" s="46"/>
      <c r="P3" s="46"/>
      <c r="Q3" s="46"/>
      <c r="R3" s="46"/>
      <c r="S3" s="46"/>
      <c r="T3" s="46"/>
      <c r="U3" s="46"/>
      <c r="V3" s="46"/>
      <c r="W3" s="51"/>
      <c r="X3" s="51"/>
      <c r="Y3" s="30"/>
    </row>
    <row r="4" spans="1:27" ht="14.25">
      <c r="A4" s="9"/>
      <c r="B4" s="9"/>
      <c r="C4" s="8"/>
      <c r="D4" s="9"/>
      <c r="E4" s="10"/>
      <c r="F4" s="9"/>
      <c r="G4" s="9"/>
      <c r="H4" s="49" t="s">
        <v>332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30"/>
      <c r="V4" s="30"/>
      <c r="W4" s="51"/>
      <c r="X4" s="51"/>
      <c r="Y4" s="30"/>
    </row>
    <row r="5" spans="1:27" ht="12.75" customHeight="1">
      <c r="A5" s="9"/>
      <c r="B5" s="9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51"/>
      <c r="X5" s="51"/>
      <c r="Y5" s="9"/>
    </row>
    <row r="6" spans="1:27" s="5" customFormat="1" ht="189" customHeight="1">
      <c r="A6" s="33" t="s">
        <v>0</v>
      </c>
      <c r="B6" s="33" t="s">
        <v>1</v>
      </c>
      <c r="C6" s="34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165</v>
      </c>
      <c r="I6" s="33" t="s">
        <v>7</v>
      </c>
      <c r="J6" s="33" t="s">
        <v>8</v>
      </c>
      <c r="K6" s="33" t="s">
        <v>9</v>
      </c>
      <c r="L6" s="33" t="s">
        <v>10</v>
      </c>
      <c r="M6" s="33" t="s">
        <v>11</v>
      </c>
      <c r="N6" s="33" t="s">
        <v>12</v>
      </c>
      <c r="O6" s="33" t="s">
        <v>13</v>
      </c>
      <c r="P6" s="33" t="s">
        <v>14</v>
      </c>
      <c r="Q6" s="33" t="s">
        <v>15</v>
      </c>
      <c r="R6" s="33" t="s">
        <v>16</v>
      </c>
      <c r="S6" s="33" t="s">
        <v>17</v>
      </c>
      <c r="T6" s="33" t="s">
        <v>18</v>
      </c>
      <c r="U6" s="33" t="s">
        <v>19</v>
      </c>
      <c r="V6" s="33" t="s">
        <v>20</v>
      </c>
      <c r="W6" s="51"/>
      <c r="X6" s="51"/>
    </row>
    <row r="7" spans="1:27" ht="14.25">
      <c r="A7" s="35">
        <v>1</v>
      </c>
      <c r="B7" s="35">
        <v>2</v>
      </c>
      <c r="C7" s="36"/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/>
      <c r="P7" s="35">
        <v>16</v>
      </c>
      <c r="Q7" s="35">
        <v>17</v>
      </c>
      <c r="R7" s="35">
        <v>18</v>
      </c>
      <c r="S7" s="35">
        <v>19</v>
      </c>
      <c r="T7" s="35">
        <v>20</v>
      </c>
      <c r="U7" s="35">
        <v>21</v>
      </c>
      <c r="V7" s="35">
        <v>22</v>
      </c>
      <c r="W7" s="51"/>
      <c r="X7" s="51"/>
      <c r="Z7" s="4"/>
      <c r="AA7" s="4"/>
    </row>
    <row r="8" spans="1:27" ht="33" customHeight="1">
      <c r="A8" s="50" t="s">
        <v>21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  <c r="X8" s="51"/>
      <c r="Y8" s="28"/>
      <c r="Z8" s="4"/>
      <c r="AA8" s="4"/>
    </row>
    <row r="9" spans="1:27" ht="65.099999999999994" customHeight="1">
      <c r="A9" s="32" t="s">
        <v>42</v>
      </c>
      <c r="B9" s="32" t="s">
        <v>80</v>
      </c>
      <c r="C9" s="37" t="s">
        <v>225</v>
      </c>
      <c r="D9" s="32" t="s">
        <v>68</v>
      </c>
      <c r="E9" s="32" t="s">
        <v>69</v>
      </c>
      <c r="F9" s="32"/>
      <c r="G9" s="32" t="s">
        <v>24</v>
      </c>
      <c r="H9" s="38">
        <v>0</v>
      </c>
      <c r="I9" s="32">
        <v>710000000</v>
      </c>
      <c r="J9" s="32" t="s">
        <v>263</v>
      </c>
      <c r="K9" s="32" t="s">
        <v>171</v>
      </c>
      <c r="L9" s="32" t="s">
        <v>22</v>
      </c>
      <c r="M9" s="32" t="s">
        <v>23</v>
      </c>
      <c r="N9" s="38">
        <v>1</v>
      </c>
      <c r="O9" s="32" t="s">
        <v>166</v>
      </c>
      <c r="P9" s="32">
        <v>500</v>
      </c>
      <c r="Q9" s="39">
        <f>1750/1.12</f>
        <v>1562.4999999999998</v>
      </c>
      <c r="R9" s="40">
        <f>Q9*P9</f>
        <v>781249.99999999988</v>
      </c>
      <c r="S9" s="40">
        <f>R9*1.12</f>
        <v>875000</v>
      </c>
      <c r="T9" s="40"/>
      <c r="U9" s="32">
        <v>2020</v>
      </c>
      <c r="V9" s="41"/>
      <c r="W9" s="47"/>
      <c r="X9" s="47"/>
      <c r="Z9" s="4"/>
      <c r="AA9" s="4"/>
    </row>
    <row r="10" spans="1:27" ht="65.099999999999994" customHeight="1">
      <c r="A10" s="32" t="s">
        <v>59</v>
      </c>
      <c r="B10" s="32" t="s">
        <v>80</v>
      </c>
      <c r="C10" s="37" t="s">
        <v>225</v>
      </c>
      <c r="D10" s="32" t="s">
        <v>68</v>
      </c>
      <c r="E10" s="32" t="s">
        <v>278</v>
      </c>
      <c r="F10" s="32"/>
      <c r="G10" s="32" t="s">
        <v>24</v>
      </c>
      <c r="H10" s="38">
        <v>0</v>
      </c>
      <c r="I10" s="32">
        <v>710000000</v>
      </c>
      <c r="J10" s="32" t="s">
        <v>263</v>
      </c>
      <c r="K10" s="32" t="s">
        <v>171</v>
      </c>
      <c r="L10" s="32" t="s">
        <v>22</v>
      </c>
      <c r="M10" s="32" t="s">
        <v>23</v>
      </c>
      <c r="N10" s="38">
        <v>1</v>
      </c>
      <c r="O10" s="32" t="s">
        <v>166</v>
      </c>
      <c r="P10" s="32">
        <v>10</v>
      </c>
      <c r="Q10" s="39">
        <f>3385/1.12</f>
        <v>3022.3214285714284</v>
      </c>
      <c r="R10" s="40">
        <f t="shared" ref="R10:R51" si="0">Q10*P10</f>
        <v>30223.214285714283</v>
      </c>
      <c r="S10" s="40">
        <f t="shared" ref="S10:S53" si="1">R10*1.12</f>
        <v>33850</v>
      </c>
      <c r="T10" s="40"/>
      <c r="U10" s="32">
        <v>2020</v>
      </c>
      <c r="V10" s="41"/>
      <c r="W10" s="47"/>
      <c r="X10" s="47"/>
      <c r="Z10" s="4"/>
      <c r="AA10" s="4"/>
    </row>
    <row r="11" spans="1:27" ht="65.099999999999994" customHeight="1">
      <c r="A11" s="32" t="s">
        <v>313</v>
      </c>
      <c r="B11" s="32" t="s">
        <v>80</v>
      </c>
      <c r="C11" s="37" t="s">
        <v>224</v>
      </c>
      <c r="D11" s="32" t="s">
        <v>70</v>
      </c>
      <c r="E11" s="32" t="s">
        <v>280</v>
      </c>
      <c r="F11" s="32"/>
      <c r="G11" s="32" t="s">
        <v>24</v>
      </c>
      <c r="H11" s="38">
        <v>0</v>
      </c>
      <c r="I11" s="32">
        <f>$I$9</f>
        <v>710000000</v>
      </c>
      <c r="J11" s="32" t="s">
        <v>263</v>
      </c>
      <c r="K11" s="32" t="s">
        <v>171</v>
      </c>
      <c r="L11" s="32" t="s">
        <v>22</v>
      </c>
      <c r="M11" s="32" t="s">
        <v>23</v>
      </c>
      <c r="N11" s="38">
        <v>1</v>
      </c>
      <c r="O11" s="32" t="s">
        <v>166</v>
      </c>
      <c r="P11" s="32">
        <v>5</v>
      </c>
      <c r="Q11" s="39">
        <f>5845/1.12</f>
        <v>5218.7499999999991</v>
      </c>
      <c r="R11" s="40">
        <f t="shared" si="0"/>
        <v>26093.749999999996</v>
      </c>
      <c r="S11" s="40">
        <f t="shared" si="1"/>
        <v>29225</v>
      </c>
      <c r="T11" s="40"/>
      <c r="U11" s="32">
        <v>2020</v>
      </c>
      <c r="V11" s="41"/>
      <c r="W11" s="47"/>
      <c r="X11" s="47"/>
      <c r="Z11" s="4"/>
      <c r="AA11" s="4"/>
    </row>
    <row r="12" spans="1:27" ht="65.099999999999994" customHeight="1">
      <c r="A12" s="32" t="s">
        <v>60</v>
      </c>
      <c r="B12" s="32" t="s">
        <v>80</v>
      </c>
      <c r="C12" s="37" t="s">
        <v>223</v>
      </c>
      <c r="D12" s="32" t="s">
        <v>71</v>
      </c>
      <c r="E12" s="32" t="s">
        <v>75</v>
      </c>
      <c r="F12" s="32"/>
      <c r="G12" s="32" t="s">
        <v>24</v>
      </c>
      <c r="H12" s="38">
        <v>0</v>
      </c>
      <c r="I12" s="32">
        <f t="shared" ref="I12:I47" si="2">$I$9</f>
        <v>710000000</v>
      </c>
      <c r="J12" s="32" t="s">
        <v>263</v>
      </c>
      <c r="K12" s="32" t="s">
        <v>171</v>
      </c>
      <c r="L12" s="32" t="s">
        <v>22</v>
      </c>
      <c r="M12" s="32" t="s">
        <v>23</v>
      </c>
      <c r="N12" s="38">
        <v>1</v>
      </c>
      <c r="O12" s="32" t="s">
        <v>166</v>
      </c>
      <c r="P12" s="32">
        <v>20</v>
      </c>
      <c r="Q12" s="39">
        <f>115/1.12</f>
        <v>102.67857142857142</v>
      </c>
      <c r="R12" s="40">
        <f t="shared" si="0"/>
        <v>2053.5714285714284</v>
      </c>
      <c r="S12" s="40">
        <f t="shared" si="1"/>
        <v>2300</v>
      </c>
      <c r="T12" s="40"/>
      <c r="U12" s="32">
        <v>2020</v>
      </c>
      <c r="V12" s="41"/>
      <c r="W12" s="47"/>
      <c r="X12" s="47"/>
      <c r="Z12" s="4"/>
      <c r="AA12" s="4"/>
    </row>
    <row r="13" spans="1:27" ht="65.099999999999994" customHeight="1">
      <c r="A13" s="32" t="s">
        <v>314</v>
      </c>
      <c r="B13" s="32" t="s">
        <v>80</v>
      </c>
      <c r="C13" s="37" t="s">
        <v>222</v>
      </c>
      <c r="D13" s="32" t="s">
        <v>281</v>
      </c>
      <c r="E13" s="32" t="s">
        <v>280</v>
      </c>
      <c r="F13" s="32"/>
      <c r="G13" s="32" t="s">
        <v>24</v>
      </c>
      <c r="H13" s="38">
        <v>0</v>
      </c>
      <c r="I13" s="32">
        <f t="shared" si="2"/>
        <v>710000000</v>
      </c>
      <c r="J13" s="32" t="s">
        <v>263</v>
      </c>
      <c r="K13" s="32" t="s">
        <v>171</v>
      </c>
      <c r="L13" s="32" t="s">
        <v>22</v>
      </c>
      <c r="M13" s="32" t="s">
        <v>23</v>
      </c>
      <c r="N13" s="38">
        <v>1</v>
      </c>
      <c r="O13" s="32" t="s">
        <v>167</v>
      </c>
      <c r="P13" s="32">
        <v>100</v>
      </c>
      <c r="Q13" s="39">
        <f>370/1.12</f>
        <v>330.35714285714283</v>
      </c>
      <c r="R13" s="40">
        <f t="shared" si="0"/>
        <v>33035.714285714283</v>
      </c>
      <c r="S13" s="40">
        <f t="shared" si="1"/>
        <v>37000</v>
      </c>
      <c r="T13" s="40"/>
      <c r="U13" s="32">
        <v>2020</v>
      </c>
      <c r="V13" s="41"/>
      <c r="W13" s="47"/>
      <c r="X13" s="47"/>
      <c r="Z13" s="4"/>
      <c r="AA13" s="4"/>
    </row>
    <row r="14" spans="1:27" ht="65.099999999999994" customHeight="1">
      <c r="A14" s="32" t="s">
        <v>315</v>
      </c>
      <c r="B14" s="32" t="s">
        <v>80</v>
      </c>
      <c r="C14" s="37" t="s">
        <v>221</v>
      </c>
      <c r="D14" s="32" t="s">
        <v>283</v>
      </c>
      <c r="E14" s="32" t="s">
        <v>76</v>
      </c>
      <c r="F14" s="32"/>
      <c r="G14" s="32" t="s">
        <v>24</v>
      </c>
      <c r="H14" s="38">
        <v>0</v>
      </c>
      <c r="I14" s="32">
        <f t="shared" si="2"/>
        <v>710000000</v>
      </c>
      <c r="J14" s="32" t="s">
        <v>263</v>
      </c>
      <c r="K14" s="32" t="s">
        <v>171</v>
      </c>
      <c r="L14" s="32" t="s">
        <v>22</v>
      </c>
      <c r="M14" s="32" t="s">
        <v>23</v>
      </c>
      <c r="N14" s="38">
        <v>1</v>
      </c>
      <c r="O14" s="32" t="s">
        <v>168</v>
      </c>
      <c r="P14" s="32">
        <v>20</v>
      </c>
      <c r="Q14" s="39">
        <f>900/1.12</f>
        <v>803.57142857142844</v>
      </c>
      <c r="R14" s="40">
        <f t="shared" si="0"/>
        <v>16071.428571428569</v>
      </c>
      <c r="S14" s="40">
        <f t="shared" si="1"/>
        <v>18000</v>
      </c>
      <c r="T14" s="40"/>
      <c r="U14" s="32">
        <v>2020</v>
      </c>
      <c r="V14" s="41"/>
      <c r="W14" s="47"/>
      <c r="X14" s="47"/>
      <c r="Z14" s="4"/>
      <c r="AA14" s="4"/>
    </row>
    <row r="15" spans="1:27" ht="65.099999999999994" customHeight="1">
      <c r="A15" s="32" t="s">
        <v>316</v>
      </c>
      <c r="B15" s="32" t="s">
        <v>80</v>
      </c>
      <c r="C15" s="37" t="s">
        <v>220</v>
      </c>
      <c r="D15" s="32" t="s">
        <v>284</v>
      </c>
      <c r="E15" s="32" t="s">
        <v>285</v>
      </c>
      <c r="F15" s="32"/>
      <c r="G15" s="32" t="s">
        <v>24</v>
      </c>
      <c r="H15" s="38">
        <v>0</v>
      </c>
      <c r="I15" s="32">
        <f t="shared" si="2"/>
        <v>710000000</v>
      </c>
      <c r="J15" s="32" t="s">
        <v>263</v>
      </c>
      <c r="K15" s="32" t="s">
        <v>171</v>
      </c>
      <c r="L15" s="32" t="s">
        <v>22</v>
      </c>
      <c r="M15" s="32" t="s">
        <v>23</v>
      </c>
      <c r="N15" s="38">
        <v>1</v>
      </c>
      <c r="O15" s="32" t="s">
        <v>166</v>
      </c>
      <c r="P15" s="32">
        <v>150</v>
      </c>
      <c r="Q15" s="39">
        <f>135/1.12</f>
        <v>120.53571428571428</v>
      </c>
      <c r="R15" s="40">
        <f t="shared" si="0"/>
        <v>18080.357142857141</v>
      </c>
      <c r="S15" s="40">
        <f t="shared" si="1"/>
        <v>20250</v>
      </c>
      <c r="T15" s="40"/>
      <c r="U15" s="32">
        <v>2020</v>
      </c>
      <c r="V15" s="41"/>
      <c r="W15" s="47"/>
      <c r="X15" s="47"/>
      <c r="Z15" s="4"/>
      <c r="AA15" s="4"/>
    </row>
    <row r="16" spans="1:27" ht="65.099999999999994" customHeight="1">
      <c r="A16" s="32" t="s">
        <v>61</v>
      </c>
      <c r="B16" s="32" t="s">
        <v>80</v>
      </c>
      <c r="C16" s="37" t="s">
        <v>219</v>
      </c>
      <c r="D16" s="32" t="s">
        <v>72</v>
      </c>
      <c r="E16" s="32" t="s">
        <v>77</v>
      </c>
      <c r="F16" s="32"/>
      <c r="G16" s="32" t="s">
        <v>24</v>
      </c>
      <c r="H16" s="38">
        <v>0</v>
      </c>
      <c r="I16" s="32">
        <f t="shared" si="2"/>
        <v>710000000</v>
      </c>
      <c r="J16" s="32" t="s">
        <v>263</v>
      </c>
      <c r="K16" s="32" t="s">
        <v>171</v>
      </c>
      <c r="L16" s="32" t="s">
        <v>22</v>
      </c>
      <c r="M16" s="32" t="s">
        <v>23</v>
      </c>
      <c r="N16" s="38">
        <v>1</v>
      </c>
      <c r="O16" s="32" t="s">
        <v>167</v>
      </c>
      <c r="P16" s="32">
        <v>4</v>
      </c>
      <c r="Q16" s="39">
        <f>1250/1.12</f>
        <v>1116.0714285714284</v>
      </c>
      <c r="R16" s="40">
        <f t="shared" si="0"/>
        <v>4464.2857142857138</v>
      </c>
      <c r="S16" s="40">
        <f t="shared" si="1"/>
        <v>5000</v>
      </c>
      <c r="T16" s="40"/>
      <c r="U16" s="32">
        <v>2020</v>
      </c>
      <c r="V16" s="41"/>
      <c r="W16" s="47"/>
      <c r="X16" s="47"/>
      <c r="Z16" s="4"/>
      <c r="AA16" s="4"/>
    </row>
    <row r="17" spans="1:27" ht="65.099999999999994" customHeight="1">
      <c r="A17" s="32" t="s">
        <v>317</v>
      </c>
      <c r="B17" s="32" t="s">
        <v>80</v>
      </c>
      <c r="C17" s="37" t="s">
        <v>218</v>
      </c>
      <c r="D17" s="32" t="s">
        <v>74</v>
      </c>
      <c r="E17" s="32" t="s">
        <v>282</v>
      </c>
      <c r="F17" s="32"/>
      <c r="G17" s="32" t="s">
        <v>24</v>
      </c>
      <c r="H17" s="38">
        <v>0</v>
      </c>
      <c r="I17" s="32">
        <f t="shared" si="2"/>
        <v>710000000</v>
      </c>
      <c r="J17" s="32" t="s">
        <v>263</v>
      </c>
      <c r="K17" s="32" t="s">
        <v>171</v>
      </c>
      <c r="L17" s="32" t="s">
        <v>22</v>
      </c>
      <c r="M17" s="32" t="s">
        <v>23</v>
      </c>
      <c r="N17" s="38">
        <v>1</v>
      </c>
      <c r="O17" s="32" t="s">
        <v>166</v>
      </c>
      <c r="P17" s="32">
        <v>10</v>
      </c>
      <c r="Q17" s="39">
        <f>100/1.12</f>
        <v>89.285714285714278</v>
      </c>
      <c r="R17" s="40">
        <f t="shared" si="0"/>
        <v>892.85714285714278</v>
      </c>
      <c r="S17" s="40">
        <f t="shared" si="1"/>
        <v>1000</v>
      </c>
      <c r="T17" s="40"/>
      <c r="U17" s="32">
        <v>2020</v>
      </c>
      <c r="V17" s="41"/>
      <c r="W17" s="47"/>
      <c r="X17" s="47"/>
      <c r="Z17" s="4"/>
      <c r="AA17" s="4"/>
    </row>
    <row r="18" spans="1:27" ht="65.099999999999994" customHeight="1">
      <c r="A18" s="32" t="s">
        <v>62</v>
      </c>
      <c r="B18" s="32" t="s">
        <v>80</v>
      </c>
      <c r="C18" s="37" t="s">
        <v>217</v>
      </c>
      <c r="D18" s="32" t="s">
        <v>119</v>
      </c>
      <c r="E18" s="32" t="s">
        <v>120</v>
      </c>
      <c r="F18" s="32"/>
      <c r="G18" s="32" t="s">
        <v>24</v>
      </c>
      <c r="H18" s="38">
        <v>0</v>
      </c>
      <c r="I18" s="32">
        <f t="shared" si="2"/>
        <v>710000000</v>
      </c>
      <c r="J18" s="32" t="s">
        <v>263</v>
      </c>
      <c r="K18" s="32" t="s">
        <v>171</v>
      </c>
      <c r="L18" s="32" t="s">
        <v>22</v>
      </c>
      <c r="M18" s="32" t="s">
        <v>23</v>
      </c>
      <c r="N18" s="38">
        <v>1</v>
      </c>
      <c r="O18" s="32" t="s">
        <v>166</v>
      </c>
      <c r="P18" s="32">
        <v>10</v>
      </c>
      <c r="Q18" s="39">
        <f>975/1.12</f>
        <v>870.53571428571422</v>
      </c>
      <c r="R18" s="40">
        <f t="shared" si="0"/>
        <v>8705.3571428571413</v>
      </c>
      <c r="S18" s="40">
        <f t="shared" si="1"/>
        <v>9750</v>
      </c>
      <c r="T18" s="40"/>
      <c r="U18" s="32">
        <v>2020</v>
      </c>
      <c r="V18" s="41"/>
      <c r="W18" s="47"/>
      <c r="X18" s="47"/>
      <c r="Z18" s="4"/>
      <c r="AA18" s="4"/>
    </row>
    <row r="19" spans="1:27" ht="65.099999999999994" customHeight="1">
      <c r="A19" s="32" t="s">
        <v>63</v>
      </c>
      <c r="B19" s="32" t="s">
        <v>80</v>
      </c>
      <c r="C19" s="37" t="s">
        <v>216</v>
      </c>
      <c r="D19" s="32" t="s">
        <v>82</v>
      </c>
      <c r="E19" s="32" t="s">
        <v>288</v>
      </c>
      <c r="F19" s="32"/>
      <c r="G19" s="32" t="s">
        <v>24</v>
      </c>
      <c r="H19" s="38">
        <v>0</v>
      </c>
      <c r="I19" s="32">
        <f t="shared" si="2"/>
        <v>710000000</v>
      </c>
      <c r="J19" s="32" t="s">
        <v>263</v>
      </c>
      <c r="K19" s="32" t="s">
        <v>171</v>
      </c>
      <c r="L19" s="32" t="s">
        <v>22</v>
      </c>
      <c r="M19" s="32" t="s">
        <v>23</v>
      </c>
      <c r="N19" s="38">
        <v>1</v>
      </c>
      <c r="O19" s="32" t="s">
        <v>166</v>
      </c>
      <c r="P19" s="32">
        <v>100</v>
      </c>
      <c r="Q19" s="39">
        <f>440/1.12</f>
        <v>392.85714285714283</v>
      </c>
      <c r="R19" s="40">
        <f>Q19*P19</f>
        <v>39285.714285714283</v>
      </c>
      <c r="S19" s="40">
        <f>R19*1.12</f>
        <v>44000</v>
      </c>
      <c r="T19" s="40"/>
      <c r="U19" s="32">
        <v>2020</v>
      </c>
      <c r="V19" s="41"/>
      <c r="W19" s="47"/>
      <c r="X19" s="47"/>
      <c r="Z19" s="4"/>
      <c r="AA19" s="4"/>
    </row>
    <row r="20" spans="1:27" ht="65.099999999999994" customHeight="1">
      <c r="A20" s="32" t="s">
        <v>64</v>
      </c>
      <c r="B20" s="32" t="s">
        <v>80</v>
      </c>
      <c r="C20" s="37" t="s">
        <v>216</v>
      </c>
      <c r="D20" s="32" t="s">
        <v>82</v>
      </c>
      <c r="E20" s="32" t="s">
        <v>287</v>
      </c>
      <c r="F20" s="32"/>
      <c r="G20" s="32" t="s">
        <v>24</v>
      </c>
      <c r="H20" s="38">
        <v>0</v>
      </c>
      <c r="I20" s="32">
        <f t="shared" si="2"/>
        <v>710000000</v>
      </c>
      <c r="J20" s="32" t="s">
        <v>263</v>
      </c>
      <c r="K20" s="32" t="s">
        <v>171</v>
      </c>
      <c r="L20" s="32" t="s">
        <v>22</v>
      </c>
      <c r="M20" s="32" t="s">
        <v>23</v>
      </c>
      <c r="N20" s="38">
        <v>1</v>
      </c>
      <c r="O20" s="32" t="s">
        <v>166</v>
      </c>
      <c r="P20" s="32">
        <v>100</v>
      </c>
      <c r="Q20" s="39">
        <f>235/1.12</f>
        <v>209.82142857142856</v>
      </c>
      <c r="R20" s="40">
        <f t="shared" si="0"/>
        <v>20982.142857142855</v>
      </c>
      <c r="S20" s="40">
        <f t="shared" si="1"/>
        <v>23500</v>
      </c>
      <c r="T20" s="40"/>
      <c r="U20" s="32">
        <v>2020</v>
      </c>
      <c r="V20" s="41"/>
      <c r="W20" s="47"/>
      <c r="X20" s="47"/>
      <c r="Z20" s="4"/>
      <c r="AA20" s="4"/>
    </row>
    <row r="21" spans="1:27" ht="65.099999999999994" customHeight="1">
      <c r="A21" s="32" t="s">
        <v>318</v>
      </c>
      <c r="B21" s="32" t="s">
        <v>80</v>
      </c>
      <c r="C21" s="37" t="s">
        <v>215</v>
      </c>
      <c r="D21" s="32" t="s">
        <v>117</v>
      </c>
      <c r="E21" s="32" t="s">
        <v>118</v>
      </c>
      <c r="F21" s="32"/>
      <c r="G21" s="32" t="s">
        <v>24</v>
      </c>
      <c r="H21" s="38">
        <v>0</v>
      </c>
      <c r="I21" s="32">
        <f t="shared" si="2"/>
        <v>710000000</v>
      </c>
      <c r="J21" s="32" t="s">
        <v>263</v>
      </c>
      <c r="K21" s="32" t="s">
        <v>171</v>
      </c>
      <c r="L21" s="32" t="s">
        <v>22</v>
      </c>
      <c r="M21" s="32" t="s">
        <v>23</v>
      </c>
      <c r="N21" s="38">
        <v>1</v>
      </c>
      <c r="O21" s="32" t="s">
        <v>166</v>
      </c>
      <c r="P21" s="32">
        <v>150</v>
      </c>
      <c r="Q21" s="39">
        <f>395/1.12</f>
        <v>352.67857142857139</v>
      </c>
      <c r="R21" s="40">
        <f t="shared" si="0"/>
        <v>52901.78571428571</v>
      </c>
      <c r="S21" s="40">
        <f t="shared" si="1"/>
        <v>59250</v>
      </c>
      <c r="T21" s="40"/>
      <c r="U21" s="32">
        <v>2020</v>
      </c>
      <c r="V21" s="41"/>
      <c r="W21" s="47"/>
      <c r="X21" s="47"/>
      <c r="Z21" s="4"/>
      <c r="AA21" s="4"/>
    </row>
    <row r="22" spans="1:27" ht="65.099999999999994" customHeight="1">
      <c r="A22" s="32" t="s">
        <v>65</v>
      </c>
      <c r="B22" s="32" t="s">
        <v>80</v>
      </c>
      <c r="C22" s="37" t="s">
        <v>226</v>
      </c>
      <c r="D22" s="32" t="s">
        <v>132</v>
      </c>
      <c r="E22" s="32" t="s">
        <v>279</v>
      </c>
      <c r="F22" s="32"/>
      <c r="G22" s="32" t="s">
        <v>24</v>
      </c>
      <c r="H22" s="38">
        <v>1</v>
      </c>
      <c r="I22" s="32">
        <f t="shared" si="2"/>
        <v>710000000</v>
      </c>
      <c r="J22" s="32" t="s">
        <v>263</v>
      </c>
      <c r="K22" s="32" t="s">
        <v>171</v>
      </c>
      <c r="L22" s="32" t="s">
        <v>22</v>
      </c>
      <c r="M22" s="32" t="s">
        <v>23</v>
      </c>
      <c r="N22" s="38">
        <v>1</v>
      </c>
      <c r="O22" s="32" t="s">
        <v>166</v>
      </c>
      <c r="P22" s="32">
        <v>3</v>
      </c>
      <c r="Q22" s="39">
        <f>8000/1.12</f>
        <v>7142.8571428571422</v>
      </c>
      <c r="R22" s="40">
        <f t="shared" si="0"/>
        <v>21428.571428571428</v>
      </c>
      <c r="S22" s="40">
        <f t="shared" si="1"/>
        <v>24000</v>
      </c>
      <c r="T22" s="40"/>
      <c r="U22" s="32">
        <v>2020</v>
      </c>
      <c r="V22" s="41"/>
      <c r="W22" s="47"/>
      <c r="X22" s="47"/>
      <c r="Z22" s="4"/>
      <c r="AA22" s="4"/>
    </row>
    <row r="23" spans="1:27" ht="65.099999999999994" customHeight="1">
      <c r="A23" s="32" t="s">
        <v>319</v>
      </c>
      <c r="B23" s="32" t="s">
        <v>80</v>
      </c>
      <c r="C23" s="37" t="s">
        <v>214</v>
      </c>
      <c r="D23" s="32" t="s">
        <v>73</v>
      </c>
      <c r="E23" s="32" t="s">
        <v>292</v>
      </c>
      <c r="F23" s="32"/>
      <c r="G23" s="32" t="s">
        <v>24</v>
      </c>
      <c r="H23" s="38">
        <v>0</v>
      </c>
      <c r="I23" s="32">
        <f t="shared" si="2"/>
        <v>710000000</v>
      </c>
      <c r="J23" s="32" t="s">
        <v>263</v>
      </c>
      <c r="K23" s="32" t="s">
        <v>171</v>
      </c>
      <c r="L23" s="32" t="s">
        <v>22</v>
      </c>
      <c r="M23" s="32" t="s">
        <v>23</v>
      </c>
      <c r="N23" s="38">
        <v>1</v>
      </c>
      <c r="O23" s="32" t="s">
        <v>166</v>
      </c>
      <c r="P23" s="32">
        <v>50</v>
      </c>
      <c r="Q23" s="39">
        <f>55/1.12</f>
        <v>49.107142857142854</v>
      </c>
      <c r="R23" s="40">
        <f>Q23*P23</f>
        <v>2455.3571428571427</v>
      </c>
      <c r="S23" s="40">
        <f>R23*1.12</f>
        <v>2750</v>
      </c>
      <c r="T23" s="40"/>
      <c r="U23" s="32">
        <v>2020</v>
      </c>
      <c r="V23" s="41"/>
      <c r="W23" s="47"/>
      <c r="X23" s="47"/>
      <c r="Z23" s="4"/>
      <c r="AA23" s="4"/>
    </row>
    <row r="24" spans="1:27" ht="65.099999999999994" customHeight="1">
      <c r="A24" s="32" t="s">
        <v>66</v>
      </c>
      <c r="B24" s="32" t="s">
        <v>80</v>
      </c>
      <c r="C24" s="37" t="s">
        <v>214</v>
      </c>
      <c r="D24" s="32" t="s">
        <v>73</v>
      </c>
      <c r="E24" s="32" t="s">
        <v>293</v>
      </c>
      <c r="F24" s="32"/>
      <c r="G24" s="32" t="s">
        <v>24</v>
      </c>
      <c r="H24" s="38">
        <v>0</v>
      </c>
      <c r="I24" s="32">
        <f t="shared" si="2"/>
        <v>710000000</v>
      </c>
      <c r="J24" s="32" t="s">
        <v>263</v>
      </c>
      <c r="K24" s="32" t="s">
        <v>171</v>
      </c>
      <c r="L24" s="32" t="s">
        <v>22</v>
      </c>
      <c r="M24" s="32" t="s">
        <v>23</v>
      </c>
      <c r="N24" s="38">
        <v>1</v>
      </c>
      <c r="O24" s="32" t="s">
        <v>166</v>
      </c>
      <c r="P24" s="32">
        <v>100</v>
      </c>
      <c r="Q24" s="39">
        <f>50/1.12</f>
        <v>44.642857142857139</v>
      </c>
      <c r="R24" s="40">
        <f t="shared" si="0"/>
        <v>4464.2857142857138</v>
      </c>
      <c r="S24" s="40">
        <f t="shared" si="1"/>
        <v>5000</v>
      </c>
      <c r="T24" s="40"/>
      <c r="U24" s="32">
        <v>2020</v>
      </c>
      <c r="V24" s="41"/>
      <c r="W24" s="47"/>
      <c r="X24" s="47"/>
      <c r="Z24" s="4"/>
      <c r="AA24" s="4"/>
    </row>
    <row r="25" spans="1:27" ht="65.099999999999994" customHeight="1">
      <c r="A25" s="32" t="s">
        <v>67</v>
      </c>
      <c r="B25" s="32" t="s">
        <v>80</v>
      </c>
      <c r="C25" s="37" t="s">
        <v>213</v>
      </c>
      <c r="D25" s="32" t="s">
        <v>68</v>
      </c>
      <c r="E25" s="32" t="s">
        <v>85</v>
      </c>
      <c r="F25" s="32"/>
      <c r="G25" s="32" t="str">
        <f>G24</f>
        <v>ОИ</v>
      </c>
      <c r="H25" s="38">
        <f>H24</f>
        <v>0</v>
      </c>
      <c r="I25" s="32">
        <f t="shared" si="2"/>
        <v>710000000</v>
      </c>
      <c r="J25" s="32" t="s">
        <v>263</v>
      </c>
      <c r="K25" s="32" t="s">
        <v>171</v>
      </c>
      <c r="L25" s="32" t="s">
        <v>22</v>
      </c>
      <c r="M25" s="32" t="str">
        <f>M24</f>
        <v>DDP</v>
      </c>
      <c r="N25" s="38">
        <f t="shared" ref="N25:N36" si="3">N24</f>
        <v>1</v>
      </c>
      <c r="O25" s="32" t="s">
        <v>169</v>
      </c>
      <c r="P25" s="32">
        <v>100</v>
      </c>
      <c r="Q25" s="39">
        <f>260/1.12</f>
        <v>232.14285714285711</v>
      </c>
      <c r="R25" s="40">
        <f t="shared" si="0"/>
        <v>23214.28571428571</v>
      </c>
      <c r="S25" s="40">
        <f t="shared" si="1"/>
        <v>25999.999999999996</v>
      </c>
      <c r="T25" s="40"/>
      <c r="U25" s="32">
        <v>2020</v>
      </c>
      <c r="V25" s="41"/>
      <c r="W25" s="47"/>
      <c r="X25" s="47"/>
      <c r="Z25" s="4"/>
      <c r="AA25" s="4"/>
    </row>
    <row r="26" spans="1:27" ht="65.099999999999994" customHeight="1">
      <c r="A26" s="32" t="s">
        <v>320</v>
      </c>
      <c r="B26" s="32" t="s">
        <v>80</v>
      </c>
      <c r="C26" s="37" t="s">
        <v>212</v>
      </c>
      <c r="D26" s="32" t="s">
        <v>84</v>
      </c>
      <c r="E26" s="32" t="s">
        <v>86</v>
      </c>
      <c r="F26" s="32"/>
      <c r="G26" s="32" t="str">
        <f t="shared" ref="G26:G60" si="4">G25</f>
        <v>ОИ</v>
      </c>
      <c r="H26" s="38">
        <f>H25</f>
        <v>0</v>
      </c>
      <c r="I26" s="32">
        <f t="shared" si="2"/>
        <v>710000000</v>
      </c>
      <c r="J26" s="32" t="s">
        <v>263</v>
      </c>
      <c r="K26" s="32" t="s">
        <v>171</v>
      </c>
      <c r="L26" s="32" t="s">
        <v>22</v>
      </c>
      <c r="M26" s="32" t="str">
        <f>M25</f>
        <v>DDP</v>
      </c>
      <c r="N26" s="38">
        <f t="shared" si="3"/>
        <v>1</v>
      </c>
      <c r="O26" s="32" t="s">
        <v>166</v>
      </c>
      <c r="P26" s="32">
        <v>20</v>
      </c>
      <c r="Q26" s="39">
        <f>335/1.12</f>
        <v>299.10714285714283</v>
      </c>
      <c r="R26" s="40">
        <f t="shared" si="0"/>
        <v>5982.1428571428569</v>
      </c>
      <c r="S26" s="40">
        <f t="shared" si="1"/>
        <v>6700</v>
      </c>
      <c r="T26" s="40"/>
      <c r="U26" s="32">
        <v>2020</v>
      </c>
      <c r="V26" s="41"/>
      <c r="W26" s="47"/>
      <c r="X26" s="47"/>
      <c r="Z26" s="4"/>
      <c r="AA26" s="4"/>
    </row>
    <row r="27" spans="1:27" ht="65.099999999999994" customHeight="1">
      <c r="A27" s="32" t="s">
        <v>78</v>
      </c>
      <c r="B27" s="32" t="s">
        <v>80</v>
      </c>
      <c r="C27" s="37" t="s">
        <v>211</v>
      </c>
      <c r="D27" s="32" t="s">
        <v>87</v>
      </c>
      <c r="E27" s="32" t="s">
        <v>88</v>
      </c>
      <c r="F27" s="32"/>
      <c r="G27" s="32" t="str">
        <f t="shared" si="4"/>
        <v>ОИ</v>
      </c>
      <c r="H27" s="38">
        <f t="shared" ref="H27:H38" si="5">H26</f>
        <v>0</v>
      </c>
      <c r="I27" s="32">
        <f t="shared" si="2"/>
        <v>710000000</v>
      </c>
      <c r="J27" s="32" t="s">
        <v>263</v>
      </c>
      <c r="K27" s="32" t="s">
        <v>171</v>
      </c>
      <c r="L27" s="32" t="s">
        <v>22</v>
      </c>
      <c r="M27" s="32" t="s">
        <v>23</v>
      </c>
      <c r="N27" s="38">
        <v>1</v>
      </c>
      <c r="O27" s="32" t="s">
        <v>166</v>
      </c>
      <c r="P27" s="32">
        <v>5</v>
      </c>
      <c r="Q27" s="39">
        <f>495/1.12</f>
        <v>441.96428571428567</v>
      </c>
      <c r="R27" s="40">
        <f t="shared" si="0"/>
        <v>2209.8214285714284</v>
      </c>
      <c r="S27" s="40">
        <f t="shared" si="1"/>
        <v>2475</v>
      </c>
      <c r="T27" s="40"/>
      <c r="U27" s="32">
        <v>2020</v>
      </c>
      <c r="V27" s="41"/>
      <c r="W27" s="47"/>
      <c r="X27" s="47"/>
      <c r="Z27" s="4"/>
      <c r="AA27" s="4"/>
    </row>
    <row r="28" spans="1:27" ht="65.099999999999994" customHeight="1">
      <c r="A28" s="32" t="s">
        <v>81</v>
      </c>
      <c r="B28" s="32" t="s">
        <v>80</v>
      </c>
      <c r="C28" s="37" t="s">
        <v>210</v>
      </c>
      <c r="D28" s="32" t="s">
        <v>97</v>
      </c>
      <c r="E28" s="32" t="s">
        <v>290</v>
      </c>
      <c r="F28" s="32"/>
      <c r="G28" s="32" t="str">
        <f t="shared" si="4"/>
        <v>ОИ</v>
      </c>
      <c r="H28" s="38">
        <f t="shared" si="5"/>
        <v>0</v>
      </c>
      <c r="I28" s="32">
        <f t="shared" si="2"/>
        <v>710000000</v>
      </c>
      <c r="J28" s="32" t="s">
        <v>263</v>
      </c>
      <c r="K28" s="32" t="s">
        <v>171</v>
      </c>
      <c r="L28" s="32" t="s">
        <v>22</v>
      </c>
      <c r="M28" s="32" t="str">
        <f>M27</f>
        <v>DDP</v>
      </c>
      <c r="N28" s="38">
        <f t="shared" si="3"/>
        <v>1</v>
      </c>
      <c r="O28" s="32" t="s">
        <v>166</v>
      </c>
      <c r="P28" s="32">
        <v>7</v>
      </c>
      <c r="Q28" s="39">
        <f>455/1.12</f>
        <v>406.24999999999994</v>
      </c>
      <c r="R28" s="40">
        <f t="shared" si="0"/>
        <v>2843.7499999999995</v>
      </c>
      <c r="S28" s="40">
        <f t="shared" si="1"/>
        <v>3185</v>
      </c>
      <c r="T28" s="40"/>
      <c r="U28" s="32">
        <v>2020</v>
      </c>
      <c r="V28" s="41"/>
      <c r="W28" s="47"/>
      <c r="X28" s="47"/>
      <c r="Z28" s="4"/>
      <c r="AA28" s="4"/>
    </row>
    <row r="29" spans="1:27" ht="65.099999999999994" customHeight="1">
      <c r="A29" s="32" t="s">
        <v>321</v>
      </c>
      <c r="B29" s="32" t="s">
        <v>80</v>
      </c>
      <c r="C29" s="37" t="s">
        <v>209</v>
      </c>
      <c r="D29" s="32" t="s">
        <v>89</v>
      </c>
      <c r="E29" s="32" t="s">
        <v>289</v>
      </c>
      <c r="F29" s="32"/>
      <c r="G29" s="32" t="str">
        <f t="shared" si="4"/>
        <v>ОИ</v>
      </c>
      <c r="H29" s="38">
        <f t="shared" si="5"/>
        <v>0</v>
      </c>
      <c r="I29" s="32">
        <f t="shared" si="2"/>
        <v>710000000</v>
      </c>
      <c r="J29" s="32" t="s">
        <v>263</v>
      </c>
      <c r="K29" s="32" t="s">
        <v>171</v>
      </c>
      <c r="L29" s="32" t="s">
        <v>22</v>
      </c>
      <c r="M29" s="32" t="str">
        <f>M27</f>
        <v>DDP</v>
      </c>
      <c r="N29" s="38">
        <f>N27</f>
        <v>1</v>
      </c>
      <c r="O29" s="32" t="s">
        <v>167</v>
      </c>
      <c r="P29" s="32">
        <v>30</v>
      </c>
      <c r="Q29" s="39">
        <f>185/1.12</f>
        <v>165.17857142857142</v>
      </c>
      <c r="R29" s="40">
        <f>Q29*P29</f>
        <v>4955.3571428571422</v>
      </c>
      <c r="S29" s="40">
        <f>R29*1.12</f>
        <v>5550</v>
      </c>
      <c r="T29" s="40"/>
      <c r="U29" s="32">
        <v>2020</v>
      </c>
      <c r="V29" s="41"/>
      <c r="W29" s="47"/>
      <c r="X29" s="47"/>
      <c r="Z29" s="4"/>
      <c r="AA29" s="4"/>
    </row>
    <row r="30" spans="1:27" ht="65.099999999999994" customHeight="1">
      <c r="A30" s="32" t="s">
        <v>83</v>
      </c>
      <c r="B30" s="32" t="s">
        <v>80</v>
      </c>
      <c r="C30" s="37" t="s">
        <v>209</v>
      </c>
      <c r="D30" s="32" t="s">
        <v>89</v>
      </c>
      <c r="E30" s="32" t="s">
        <v>90</v>
      </c>
      <c r="F30" s="32"/>
      <c r="G30" s="32" t="str">
        <f t="shared" si="4"/>
        <v>ОИ</v>
      </c>
      <c r="H30" s="38">
        <f t="shared" si="5"/>
        <v>0</v>
      </c>
      <c r="I30" s="32">
        <f t="shared" si="2"/>
        <v>710000000</v>
      </c>
      <c r="J30" s="32" t="s">
        <v>263</v>
      </c>
      <c r="K30" s="32" t="s">
        <v>171</v>
      </c>
      <c r="L30" s="32" t="s">
        <v>22</v>
      </c>
      <c r="M30" s="32" t="str">
        <f>M28</f>
        <v>DDP</v>
      </c>
      <c r="N30" s="38">
        <f>N28</f>
        <v>1</v>
      </c>
      <c r="O30" s="32" t="s">
        <v>167</v>
      </c>
      <c r="P30" s="32">
        <v>10</v>
      </c>
      <c r="Q30" s="39">
        <f>215/1.12</f>
        <v>191.96428571428569</v>
      </c>
      <c r="R30" s="40">
        <f t="shared" si="0"/>
        <v>1919.6428571428569</v>
      </c>
      <c r="S30" s="40">
        <f t="shared" si="1"/>
        <v>2150</v>
      </c>
      <c r="T30" s="40"/>
      <c r="U30" s="32">
        <v>2020</v>
      </c>
      <c r="V30" s="41"/>
      <c r="W30" s="47"/>
      <c r="X30" s="47"/>
      <c r="Z30" s="4"/>
      <c r="AA30" s="4"/>
    </row>
    <row r="31" spans="1:27" ht="65.099999999999994" customHeight="1">
      <c r="A31" s="32" t="s">
        <v>103</v>
      </c>
      <c r="B31" s="32" t="s">
        <v>80</v>
      </c>
      <c r="C31" s="37" t="s">
        <v>208</v>
      </c>
      <c r="D31" s="32" t="s">
        <v>91</v>
      </c>
      <c r="E31" s="32" t="s">
        <v>286</v>
      </c>
      <c r="F31" s="32"/>
      <c r="G31" s="32" t="str">
        <f t="shared" si="4"/>
        <v>ОИ</v>
      </c>
      <c r="H31" s="38">
        <f t="shared" si="5"/>
        <v>0</v>
      </c>
      <c r="I31" s="32">
        <f t="shared" si="2"/>
        <v>710000000</v>
      </c>
      <c r="J31" s="32" t="s">
        <v>263</v>
      </c>
      <c r="K31" s="32" t="s">
        <v>171</v>
      </c>
      <c r="L31" s="32" t="s">
        <v>22</v>
      </c>
      <c r="M31" s="32" t="str">
        <f t="shared" ref="M31:M36" si="6">M30</f>
        <v>DDP</v>
      </c>
      <c r="N31" s="38">
        <f t="shared" si="3"/>
        <v>1</v>
      </c>
      <c r="O31" s="32" t="s">
        <v>166</v>
      </c>
      <c r="P31" s="32">
        <v>30</v>
      </c>
      <c r="Q31" s="39">
        <f>15/1.12</f>
        <v>13.392857142857142</v>
      </c>
      <c r="R31" s="40">
        <f t="shared" si="0"/>
        <v>401.78571428571428</v>
      </c>
      <c r="S31" s="40">
        <f t="shared" si="1"/>
        <v>450.00000000000006</v>
      </c>
      <c r="T31" s="40"/>
      <c r="U31" s="32">
        <v>2020</v>
      </c>
      <c r="V31" s="41"/>
      <c r="W31" s="47"/>
      <c r="X31" s="47"/>
      <c r="Z31" s="4"/>
      <c r="AA31" s="4"/>
    </row>
    <row r="32" spans="1:27" ht="65.099999999999994" customHeight="1">
      <c r="A32" s="32" t="s">
        <v>104</v>
      </c>
      <c r="B32" s="32" t="s">
        <v>80</v>
      </c>
      <c r="C32" s="37" t="s">
        <v>208</v>
      </c>
      <c r="D32" s="32" t="s">
        <v>91</v>
      </c>
      <c r="E32" s="32" t="s">
        <v>92</v>
      </c>
      <c r="F32" s="32"/>
      <c r="G32" s="32" t="str">
        <f t="shared" si="4"/>
        <v>ОИ</v>
      </c>
      <c r="H32" s="38">
        <f t="shared" si="5"/>
        <v>0</v>
      </c>
      <c r="I32" s="32">
        <f t="shared" si="2"/>
        <v>710000000</v>
      </c>
      <c r="J32" s="32" t="s">
        <v>263</v>
      </c>
      <c r="K32" s="32" t="s">
        <v>171</v>
      </c>
      <c r="L32" s="32" t="s">
        <v>22</v>
      </c>
      <c r="M32" s="32" t="str">
        <f t="shared" si="6"/>
        <v>DDP</v>
      </c>
      <c r="N32" s="38">
        <f t="shared" si="3"/>
        <v>1</v>
      </c>
      <c r="O32" s="32" t="s">
        <v>166</v>
      </c>
      <c r="P32" s="32">
        <v>100</v>
      </c>
      <c r="Q32" s="39">
        <f>60/1.12</f>
        <v>53.571428571428569</v>
      </c>
      <c r="R32" s="40">
        <f t="shared" si="0"/>
        <v>5357.1428571428569</v>
      </c>
      <c r="S32" s="40">
        <f t="shared" si="1"/>
        <v>6000</v>
      </c>
      <c r="T32" s="40"/>
      <c r="U32" s="32">
        <v>2020</v>
      </c>
      <c r="V32" s="41"/>
      <c r="W32" s="47"/>
      <c r="X32" s="47"/>
      <c r="Z32" s="4"/>
      <c r="AA32" s="4"/>
    </row>
    <row r="33" spans="1:27" ht="65.099999999999994" customHeight="1">
      <c r="A33" s="32" t="s">
        <v>322</v>
      </c>
      <c r="B33" s="32" t="s">
        <v>80</v>
      </c>
      <c r="C33" s="37" t="s">
        <v>207</v>
      </c>
      <c r="D33" s="32" t="s">
        <v>93</v>
      </c>
      <c r="E33" s="32" t="s">
        <v>94</v>
      </c>
      <c r="F33" s="32"/>
      <c r="G33" s="32" t="str">
        <f t="shared" si="4"/>
        <v>ОИ</v>
      </c>
      <c r="H33" s="38">
        <f t="shared" si="5"/>
        <v>0</v>
      </c>
      <c r="I33" s="32">
        <f t="shared" si="2"/>
        <v>710000000</v>
      </c>
      <c r="J33" s="32" t="s">
        <v>263</v>
      </c>
      <c r="K33" s="32" t="s">
        <v>171</v>
      </c>
      <c r="L33" s="32" t="s">
        <v>22</v>
      </c>
      <c r="M33" s="32" t="str">
        <f t="shared" si="6"/>
        <v>DDP</v>
      </c>
      <c r="N33" s="38">
        <f t="shared" si="3"/>
        <v>1</v>
      </c>
      <c r="O33" s="32" t="s">
        <v>166</v>
      </c>
      <c r="P33" s="32">
        <v>15</v>
      </c>
      <c r="Q33" s="39">
        <f>195/1.12</f>
        <v>174.10714285714283</v>
      </c>
      <c r="R33" s="40">
        <f t="shared" si="0"/>
        <v>2611.6071428571427</v>
      </c>
      <c r="S33" s="40">
        <f t="shared" si="1"/>
        <v>2925</v>
      </c>
      <c r="T33" s="40"/>
      <c r="U33" s="32">
        <v>2020</v>
      </c>
      <c r="V33" s="41"/>
      <c r="W33" s="47"/>
      <c r="X33" s="47"/>
      <c r="Z33" s="4"/>
      <c r="AA33" s="4"/>
    </row>
    <row r="34" spans="1:27" ht="65.099999999999994" customHeight="1">
      <c r="A34" s="32" t="s">
        <v>106</v>
      </c>
      <c r="B34" s="32" t="s">
        <v>80</v>
      </c>
      <c r="C34" s="37" t="s">
        <v>206</v>
      </c>
      <c r="D34" s="32" t="s">
        <v>95</v>
      </c>
      <c r="E34" s="32" t="s">
        <v>96</v>
      </c>
      <c r="F34" s="32"/>
      <c r="G34" s="32" t="str">
        <f t="shared" si="4"/>
        <v>ОИ</v>
      </c>
      <c r="H34" s="38">
        <f t="shared" si="5"/>
        <v>0</v>
      </c>
      <c r="I34" s="32">
        <f t="shared" si="2"/>
        <v>710000000</v>
      </c>
      <c r="J34" s="32" t="s">
        <v>263</v>
      </c>
      <c r="K34" s="32" t="s">
        <v>171</v>
      </c>
      <c r="L34" s="32" t="s">
        <v>22</v>
      </c>
      <c r="M34" s="32" t="str">
        <f t="shared" si="6"/>
        <v>DDP</v>
      </c>
      <c r="N34" s="38">
        <f t="shared" si="3"/>
        <v>1</v>
      </c>
      <c r="O34" s="32" t="s">
        <v>166</v>
      </c>
      <c r="P34" s="32">
        <v>10</v>
      </c>
      <c r="Q34" s="39">
        <f>660/1.12</f>
        <v>589.28571428571422</v>
      </c>
      <c r="R34" s="40">
        <f t="shared" si="0"/>
        <v>5892.8571428571422</v>
      </c>
      <c r="S34" s="40">
        <f t="shared" si="1"/>
        <v>6600</v>
      </c>
      <c r="T34" s="40"/>
      <c r="U34" s="32">
        <v>2020</v>
      </c>
      <c r="V34" s="41"/>
      <c r="W34" s="47"/>
      <c r="X34" s="47"/>
      <c r="Z34" s="4"/>
      <c r="AA34" s="4"/>
    </row>
    <row r="35" spans="1:27" ht="65.099999999999994" customHeight="1">
      <c r="A35" s="32" t="s">
        <v>107</v>
      </c>
      <c r="B35" s="32" t="s">
        <v>80</v>
      </c>
      <c r="C35" s="37" t="s">
        <v>205</v>
      </c>
      <c r="D35" s="32" t="s">
        <v>98</v>
      </c>
      <c r="E35" s="32" t="s">
        <v>99</v>
      </c>
      <c r="F35" s="32"/>
      <c r="G35" s="32" t="str">
        <f t="shared" si="4"/>
        <v>ОИ</v>
      </c>
      <c r="H35" s="38">
        <f t="shared" si="5"/>
        <v>0</v>
      </c>
      <c r="I35" s="32">
        <f t="shared" si="2"/>
        <v>710000000</v>
      </c>
      <c r="J35" s="32" t="s">
        <v>263</v>
      </c>
      <c r="K35" s="32" t="s">
        <v>171</v>
      </c>
      <c r="L35" s="32" t="s">
        <v>22</v>
      </c>
      <c r="M35" s="32" t="str">
        <f t="shared" si="6"/>
        <v>DDP</v>
      </c>
      <c r="N35" s="38">
        <f t="shared" si="3"/>
        <v>1</v>
      </c>
      <c r="O35" s="32" t="s">
        <v>166</v>
      </c>
      <c r="P35" s="32">
        <v>5</v>
      </c>
      <c r="Q35" s="39">
        <f>1065/1.12</f>
        <v>950.892857142857</v>
      </c>
      <c r="R35" s="40">
        <f t="shared" si="0"/>
        <v>4754.4642857142853</v>
      </c>
      <c r="S35" s="40">
        <f t="shared" si="1"/>
        <v>5325</v>
      </c>
      <c r="T35" s="40"/>
      <c r="U35" s="32">
        <v>2020</v>
      </c>
      <c r="V35" s="41"/>
      <c r="W35" s="47"/>
      <c r="X35" s="47"/>
      <c r="Z35" s="4"/>
      <c r="AA35" s="4"/>
    </row>
    <row r="36" spans="1:27" ht="65.099999999999994" customHeight="1">
      <c r="A36" s="32" t="s">
        <v>105</v>
      </c>
      <c r="B36" s="32" t="s">
        <v>80</v>
      </c>
      <c r="C36" s="37" t="s">
        <v>204</v>
      </c>
      <c r="D36" s="32" t="s">
        <v>100</v>
      </c>
      <c r="E36" s="32" t="s">
        <v>99</v>
      </c>
      <c r="F36" s="32"/>
      <c r="G36" s="32" t="str">
        <f t="shared" si="4"/>
        <v>ОИ</v>
      </c>
      <c r="H36" s="38">
        <f t="shared" si="5"/>
        <v>0</v>
      </c>
      <c r="I36" s="32">
        <f t="shared" si="2"/>
        <v>710000000</v>
      </c>
      <c r="J36" s="32" t="s">
        <v>263</v>
      </c>
      <c r="K36" s="32" t="s">
        <v>171</v>
      </c>
      <c r="L36" s="32" t="s">
        <v>22</v>
      </c>
      <c r="M36" s="32" t="str">
        <f t="shared" si="6"/>
        <v>DDP</v>
      </c>
      <c r="N36" s="38">
        <f t="shared" si="3"/>
        <v>1</v>
      </c>
      <c r="O36" s="32" t="s">
        <v>166</v>
      </c>
      <c r="P36" s="32">
        <v>20</v>
      </c>
      <c r="Q36" s="39">
        <f>350/1.12</f>
        <v>312.49999999999994</v>
      </c>
      <c r="R36" s="40">
        <f t="shared" si="0"/>
        <v>6249.9999999999991</v>
      </c>
      <c r="S36" s="40">
        <f t="shared" si="1"/>
        <v>7000</v>
      </c>
      <c r="T36" s="40"/>
      <c r="U36" s="32">
        <v>2020</v>
      </c>
      <c r="V36" s="41"/>
      <c r="W36" s="47"/>
      <c r="X36" s="47"/>
      <c r="Z36" s="4"/>
      <c r="AA36" s="4"/>
    </row>
    <row r="37" spans="1:27" ht="65.099999999999994" customHeight="1">
      <c r="A37" s="32" t="s">
        <v>108</v>
      </c>
      <c r="B37" s="32" t="s">
        <v>80</v>
      </c>
      <c r="C37" s="37" t="s">
        <v>203</v>
      </c>
      <c r="D37" s="32" t="s">
        <v>121</v>
      </c>
      <c r="E37" s="32" t="s">
        <v>122</v>
      </c>
      <c r="F37" s="32"/>
      <c r="G37" s="32" t="str">
        <f t="shared" si="4"/>
        <v>ОИ</v>
      </c>
      <c r="H37" s="38">
        <f t="shared" si="5"/>
        <v>0</v>
      </c>
      <c r="I37" s="32">
        <v>710000000</v>
      </c>
      <c r="J37" s="32" t="s">
        <v>263</v>
      </c>
      <c r="K37" s="32" t="s">
        <v>171</v>
      </c>
      <c r="L37" s="32" t="s">
        <v>22</v>
      </c>
      <c r="M37" s="32" t="s">
        <v>23</v>
      </c>
      <c r="N37" s="38">
        <v>1</v>
      </c>
      <c r="O37" s="32" t="s">
        <v>166</v>
      </c>
      <c r="P37" s="32">
        <v>30</v>
      </c>
      <c r="Q37" s="39">
        <f>350/1.12</f>
        <v>312.49999999999994</v>
      </c>
      <c r="R37" s="40">
        <f t="shared" si="0"/>
        <v>9374.9999999999982</v>
      </c>
      <c r="S37" s="40">
        <f t="shared" si="1"/>
        <v>10499.999999999998</v>
      </c>
      <c r="T37" s="40"/>
      <c r="U37" s="32">
        <v>2020</v>
      </c>
      <c r="V37" s="41"/>
      <c r="W37" s="47"/>
      <c r="X37" s="47"/>
      <c r="Z37" s="4"/>
      <c r="AA37" s="4"/>
    </row>
    <row r="38" spans="1:27" ht="65.099999999999994" customHeight="1">
      <c r="A38" s="32" t="s">
        <v>109</v>
      </c>
      <c r="B38" s="32" t="s">
        <v>80</v>
      </c>
      <c r="C38" s="37" t="s">
        <v>202</v>
      </c>
      <c r="D38" s="32" t="s">
        <v>101</v>
      </c>
      <c r="E38" s="32" t="s">
        <v>102</v>
      </c>
      <c r="F38" s="32"/>
      <c r="G38" s="32" t="str">
        <f t="shared" si="4"/>
        <v>ОИ</v>
      </c>
      <c r="H38" s="38">
        <f t="shared" si="5"/>
        <v>0</v>
      </c>
      <c r="I38" s="32">
        <f t="shared" si="2"/>
        <v>710000000</v>
      </c>
      <c r="J38" s="32" t="s">
        <v>263</v>
      </c>
      <c r="K38" s="32" t="s">
        <v>171</v>
      </c>
      <c r="L38" s="32" t="s">
        <v>22</v>
      </c>
      <c r="M38" s="32" t="str">
        <f>M36</f>
        <v>DDP</v>
      </c>
      <c r="N38" s="38">
        <f>N36</f>
        <v>1</v>
      </c>
      <c r="O38" s="32" t="s">
        <v>166</v>
      </c>
      <c r="P38" s="32">
        <v>20</v>
      </c>
      <c r="Q38" s="39">
        <f>200/1.12</f>
        <v>178.57142857142856</v>
      </c>
      <c r="R38" s="40">
        <f t="shared" si="0"/>
        <v>3571.4285714285711</v>
      </c>
      <c r="S38" s="40">
        <f t="shared" si="1"/>
        <v>4000</v>
      </c>
      <c r="T38" s="40"/>
      <c r="U38" s="32">
        <v>2020</v>
      </c>
      <c r="V38" s="41"/>
      <c r="W38" s="47"/>
      <c r="X38" s="47"/>
      <c r="Z38" s="4"/>
      <c r="AA38" s="4"/>
    </row>
    <row r="39" spans="1:27" ht="65.099999999999994" customHeight="1">
      <c r="A39" s="32" t="s">
        <v>110</v>
      </c>
      <c r="B39" s="32" t="s">
        <v>80</v>
      </c>
      <c r="C39" s="37" t="s">
        <v>201</v>
      </c>
      <c r="D39" s="32" t="s">
        <v>124</v>
      </c>
      <c r="E39" s="32" t="s">
        <v>123</v>
      </c>
      <c r="F39" s="32"/>
      <c r="G39" s="32" t="str">
        <f t="shared" si="4"/>
        <v>ОИ</v>
      </c>
      <c r="H39" s="38">
        <f t="shared" ref="H39:H47" si="7">H38</f>
        <v>0</v>
      </c>
      <c r="I39" s="32">
        <f t="shared" si="2"/>
        <v>710000000</v>
      </c>
      <c r="J39" s="32" t="s">
        <v>263</v>
      </c>
      <c r="K39" s="32" t="s">
        <v>171</v>
      </c>
      <c r="L39" s="32" t="s">
        <v>22</v>
      </c>
      <c r="M39" s="32" t="str">
        <f>M38</f>
        <v>DDP</v>
      </c>
      <c r="N39" s="38">
        <f>N38</f>
        <v>1</v>
      </c>
      <c r="O39" s="32" t="s">
        <v>166</v>
      </c>
      <c r="P39" s="32">
        <v>300</v>
      </c>
      <c r="Q39" s="39">
        <f>595/1.12</f>
        <v>531.25</v>
      </c>
      <c r="R39" s="40">
        <f t="shared" si="0"/>
        <v>159375</v>
      </c>
      <c r="S39" s="40">
        <f t="shared" si="1"/>
        <v>178500.00000000003</v>
      </c>
      <c r="T39" s="40"/>
      <c r="U39" s="32">
        <v>2020</v>
      </c>
      <c r="V39" s="41"/>
      <c r="W39" s="47"/>
      <c r="X39" s="47"/>
      <c r="Z39" s="4"/>
      <c r="AA39" s="4"/>
    </row>
    <row r="40" spans="1:27" ht="65.099999999999994" customHeight="1">
      <c r="A40" s="32" t="s">
        <v>111</v>
      </c>
      <c r="B40" s="32" t="s">
        <v>80</v>
      </c>
      <c r="C40" s="37" t="s">
        <v>200</v>
      </c>
      <c r="D40" s="32" t="s">
        <v>125</v>
      </c>
      <c r="E40" s="32" t="s">
        <v>291</v>
      </c>
      <c r="F40" s="32"/>
      <c r="G40" s="32" t="str">
        <f t="shared" si="4"/>
        <v>ОИ</v>
      </c>
      <c r="H40" s="38">
        <f t="shared" si="7"/>
        <v>0</v>
      </c>
      <c r="I40" s="32">
        <v>710000000</v>
      </c>
      <c r="J40" s="32" t="s">
        <v>263</v>
      </c>
      <c r="K40" s="32" t="s">
        <v>171</v>
      </c>
      <c r="L40" s="32" t="s">
        <v>22</v>
      </c>
      <c r="M40" s="32" t="s">
        <v>23</v>
      </c>
      <c r="N40" s="38">
        <v>1</v>
      </c>
      <c r="O40" s="32" t="s">
        <v>166</v>
      </c>
      <c r="P40" s="32">
        <v>100</v>
      </c>
      <c r="Q40" s="39">
        <f>35/1.12</f>
        <v>31.249999999999996</v>
      </c>
      <c r="R40" s="40">
        <f t="shared" si="0"/>
        <v>3124.9999999999995</v>
      </c>
      <c r="S40" s="40">
        <f t="shared" si="1"/>
        <v>3500</v>
      </c>
      <c r="T40" s="40"/>
      <c r="U40" s="32">
        <v>2020</v>
      </c>
      <c r="V40" s="41"/>
      <c r="W40" s="47"/>
      <c r="X40" s="47"/>
      <c r="Z40" s="4"/>
      <c r="AA40" s="4"/>
    </row>
    <row r="41" spans="1:27" ht="65.099999999999994" customHeight="1">
      <c r="A41" s="32" t="s">
        <v>112</v>
      </c>
      <c r="B41" s="32" t="s">
        <v>80</v>
      </c>
      <c r="C41" s="37" t="s">
        <v>200</v>
      </c>
      <c r="D41" s="32" t="s">
        <v>125</v>
      </c>
      <c r="E41" s="32" t="s">
        <v>291</v>
      </c>
      <c r="F41" s="32"/>
      <c r="G41" s="32" t="str">
        <f t="shared" si="4"/>
        <v>ОИ</v>
      </c>
      <c r="H41" s="38">
        <f t="shared" si="7"/>
        <v>0</v>
      </c>
      <c r="I41" s="32">
        <v>710000000</v>
      </c>
      <c r="J41" s="32" t="s">
        <v>263</v>
      </c>
      <c r="K41" s="32" t="s">
        <v>171</v>
      </c>
      <c r="L41" s="32" t="s">
        <v>22</v>
      </c>
      <c r="M41" s="32" t="s">
        <v>23</v>
      </c>
      <c r="N41" s="38">
        <v>1</v>
      </c>
      <c r="O41" s="32" t="s">
        <v>166</v>
      </c>
      <c r="P41" s="32">
        <v>100</v>
      </c>
      <c r="Q41" s="39">
        <f>48/1.12</f>
        <v>42.857142857142854</v>
      </c>
      <c r="R41" s="40">
        <f>Q41*P41</f>
        <v>4285.7142857142853</v>
      </c>
      <c r="S41" s="40">
        <f>R41*1.12</f>
        <v>4800</v>
      </c>
      <c r="T41" s="40"/>
      <c r="U41" s="32">
        <v>2020</v>
      </c>
      <c r="V41" s="41"/>
      <c r="W41" s="47"/>
      <c r="X41" s="47"/>
      <c r="Z41" s="4"/>
      <c r="AA41" s="4"/>
    </row>
    <row r="42" spans="1:27" ht="65.099999999999994" customHeight="1">
      <c r="A42" s="32" t="s">
        <v>113</v>
      </c>
      <c r="B42" s="32" t="s">
        <v>80</v>
      </c>
      <c r="C42" s="37" t="s">
        <v>134</v>
      </c>
      <c r="D42" s="32" t="s">
        <v>133</v>
      </c>
      <c r="E42" s="32" t="s">
        <v>133</v>
      </c>
      <c r="F42" s="32"/>
      <c r="G42" s="32" t="str">
        <f t="shared" si="4"/>
        <v>ОИ</v>
      </c>
      <c r="H42" s="38">
        <f t="shared" si="7"/>
        <v>0</v>
      </c>
      <c r="I42" s="32">
        <f t="shared" si="2"/>
        <v>710000000</v>
      </c>
      <c r="J42" s="32" t="s">
        <v>263</v>
      </c>
      <c r="K42" s="32" t="s">
        <v>171</v>
      </c>
      <c r="L42" s="32" t="s">
        <v>22</v>
      </c>
      <c r="M42" s="32" t="str">
        <f t="shared" ref="M42:N47" si="8">M27</f>
        <v>DDP</v>
      </c>
      <c r="N42" s="38">
        <f t="shared" si="8"/>
        <v>1</v>
      </c>
      <c r="O42" s="32" t="s">
        <v>166</v>
      </c>
      <c r="P42" s="32">
        <v>5</v>
      </c>
      <c r="Q42" s="39">
        <f>405/1.12</f>
        <v>361.60714285714283</v>
      </c>
      <c r="R42" s="40">
        <f t="shared" si="0"/>
        <v>1808.0357142857142</v>
      </c>
      <c r="S42" s="40">
        <f t="shared" si="1"/>
        <v>2025.0000000000002</v>
      </c>
      <c r="T42" s="40"/>
      <c r="U42" s="32">
        <v>2020</v>
      </c>
      <c r="V42" s="41"/>
      <c r="W42" s="47"/>
      <c r="X42" s="47"/>
      <c r="Z42" s="4"/>
      <c r="AA42" s="4"/>
    </row>
    <row r="43" spans="1:27" ht="65.099999999999994" customHeight="1">
      <c r="A43" s="32" t="s">
        <v>114</v>
      </c>
      <c r="B43" s="32" t="s">
        <v>80</v>
      </c>
      <c r="C43" s="37" t="s">
        <v>308</v>
      </c>
      <c r="D43" s="32" t="s">
        <v>309</v>
      </c>
      <c r="E43" s="32" t="s">
        <v>310</v>
      </c>
      <c r="F43" s="32"/>
      <c r="G43" s="32" t="str">
        <f>G42</f>
        <v>ОИ</v>
      </c>
      <c r="H43" s="38">
        <f t="shared" si="7"/>
        <v>0</v>
      </c>
      <c r="I43" s="32">
        <f t="shared" si="2"/>
        <v>710000000</v>
      </c>
      <c r="J43" s="32" t="s">
        <v>263</v>
      </c>
      <c r="K43" s="32" t="s">
        <v>171</v>
      </c>
      <c r="L43" s="32" t="s">
        <v>22</v>
      </c>
      <c r="M43" s="32" t="str">
        <f t="shared" si="8"/>
        <v>DDP</v>
      </c>
      <c r="N43" s="38">
        <f t="shared" si="8"/>
        <v>1</v>
      </c>
      <c r="O43" s="32" t="s">
        <v>166</v>
      </c>
      <c r="P43" s="32">
        <v>40</v>
      </c>
      <c r="Q43" s="39">
        <f>100/1.12</f>
        <v>89.285714285714278</v>
      </c>
      <c r="R43" s="40">
        <f>Q43*P43</f>
        <v>3571.4285714285711</v>
      </c>
      <c r="S43" s="40">
        <f>R43*1.12</f>
        <v>4000</v>
      </c>
      <c r="T43" s="40"/>
      <c r="U43" s="32">
        <v>2020</v>
      </c>
      <c r="V43" s="41"/>
      <c r="W43" s="47"/>
      <c r="X43" s="47"/>
      <c r="Z43" s="4"/>
      <c r="AA43" s="4"/>
    </row>
    <row r="44" spans="1:27" ht="65.099999999999994" customHeight="1">
      <c r="A44" s="32" t="s">
        <v>115</v>
      </c>
      <c r="B44" s="32" t="s">
        <v>80</v>
      </c>
      <c r="C44" s="37" t="s">
        <v>308</v>
      </c>
      <c r="D44" s="32" t="s">
        <v>309</v>
      </c>
      <c r="E44" s="32" t="s">
        <v>311</v>
      </c>
      <c r="F44" s="32"/>
      <c r="G44" s="32" t="str">
        <f>G43</f>
        <v>ОИ</v>
      </c>
      <c r="H44" s="38">
        <f t="shared" si="7"/>
        <v>0</v>
      </c>
      <c r="I44" s="32">
        <f t="shared" si="2"/>
        <v>710000000</v>
      </c>
      <c r="J44" s="32" t="s">
        <v>263</v>
      </c>
      <c r="K44" s="32" t="s">
        <v>171</v>
      </c>
      <c r="L44" s="32" t="s">
        <v>22</v>
      </c>
      <c r="M44" s="32" t="str">
        <f t="shared" si="8"/>
        <v>DDP</v>
      </c>
      <c r="N44" s="38">
        <f t="shared" si="8"/>
        <v>1</v>
      </c>
      <c r="O44" s="32" t="s">
        <v>166</v>
      </c>
      <c r="P44" s="32">
        <v>30</v>
      </c>
      <c r="Q44" s="39">
        <f>165/1.12</f>
        <v>147.32142857142856</v>
      </c>
      <c r="R44" s="40">
        <f>Q44*P44</f>
        <v>4419.6428571428569</v>
      </c>
      <c r="S44" s="40">
        <f>R44*1.12</f>
        <v>4950</v>
      </c>
      <c r="T44" s="40"/>
      <c r="U44" s="32">
        <v>2020</v>
      </c>
      <c r="V44" s="41"/>
      <c r="W44" s="47"/>
      <c r="X44" s="47"/>
      <c r="Z44" s="4"/>
      <c r="AA44" s="4"/>
    </row>
    <row r="45" spans="1:27" ht="65.099999999999994" customHeight="1">
      <c r="A45" s="32" t="s">
        <v>323</v>
      </c>
      <c r="B45" s="32" t="s">
        <v>80</v>
      </c>
      <c r="C45" s="37" t="s">
        <v>308</v>
      </c>
      <c r="D45" s="32" t="s">
        <v>309</v>
      </c>
      <c r="E45" s="32" t="s">
        <v>312</v>
      </c>
      <c r="F45" s="32"/>
      <c r="G45" s="32" t="str">
        <f>G44</f>
        <v>ОИ</v>
      </c>
      <c r="H45" s="38">
        <f t="shared" si="7"/>
        <v>0</v>
      </c>
      <c r="I45" s="32">
        <f t="shared" si="2"/>
        <v>710000000</v>
      </c>
      <c r="J45" s="32" t="s">
        <v>263</v>
      </c>
      <c r="K45" s="32" t="s">
        <v>171</v>
      </c>
      <c r="L45" s="32" t="s">
        <v>22</v>
      </c>
      <c r="M45" s="32" t="str">
        <f t="shared" si="8"/>
        <v>DDP</v>
      </c>
      <c r="N45" s="38">
        <f t="shared" si="8"/>
        <v>1</v>
      </c>
      <c r="O45" s="32" t="s">
        <v>166</v>
      </c>
      <c r="P45" s="32">
        <v>1</v>
      </c>
      <c r="Q45" s="39">
        <f>300/1.12</f>
        <v>267.85714285714283</v>
      </c>
      <c r="R45" s="40">
        <f>Q45*P45</f>
        <v>267.85714285714283</v>
      </c>
      <c r="S45" s="40">
        <f>R45*1.12</f>
        <v>300</v>
      </c>
      <c r="T45" s="40"/>
      <c r="U45" s="32">
        <v>2020</v>
      </c>
      <c r="V45" s="41"/>
      <c r="W45" s="47"/>
      <c r="X45" s="47"/>
      <c r="Z45" s="4"/>
      <c r="AA45" s="4"/>
    </row>
    <row r="46" spans="1:27" ht="65.099999999999994" customHeight="1">
      <c r="A46" s="32" t="s">
        <v>324</v>
      </c>
      <c r="B46" s="32" t="s">
        <v>80</v>
      </c>
      <c r="C46" s="37" t="s">
        <v>333</v>
      </c>
      <c r="D46" s="32" t="s">
        <v>334</v>
      </c>
      <c r="E46" s="32" t="s">
        <v>335</v>
      </c>
      <c r="F46" s="32"/>
      <c r="G46" s="32" t="str">
        <f>G45</f>
        <v>ОИ</v>
      </c>
      <c r="H46" s="38">
        <f t="shared" si="7"/>
        <v>0</v>
      </c>
      <c r="I46" s="32">
        <f t="shared" si="2"/>
        <v>710000000</v>
      </c>
      <c r="J46" s="32" t="s">
        <v>263</v>
      </c>
      <c r="K46" s="32" t="s">
        <v>171</v>
      </c>
      <c r="L46" s="32" t="s">
        <v>22</v>
      </c>
      <c r="M46" s="32" t="str">
        <f t="shared" si="8"/>
        <v>DDP</v>
      </c>
      <c r="N46" s="38">
        <f t="shared" si="8"/>
        <v>1</v>
      </c>
      <c r="O46" s="32" t="s">
        <v>166</v>
      </c>
      <c r="P46" s="32">
        <v>5</v>
      </c>
      <c r="Q46" s="39">
        <f>495/1.12</f>
        <v>441.96428571428567</v>
      </c>
      <c r="R46" s="40">
        <f>Q46*P46</f>
        <v>2209.8214285714284</v>
      </c>
      <c r="S46" s="40">
        <f>R46*1.12</f>
        <v>2475</v>
      </c>
      <c r="T46" s="40"/>
      <c r="U46" s="32">
        <v>2020</v>
      </c>
      <c r="V46" s="41"/>
      <c r="W46" s="47"/>
      <c r="X46" s="47"/>
      <c r="Z46" s="4"/>
      <c r="AA46" s="4"/>
    </row>
    <row r="47" spans="1:27" ht="65.099999999999994" customHeight="1">
      <c r="A47" s="32" t="s">
        <v>129</v>
      </c>
      <c r="B47" s="32" t="s">
        <v>80</v>
      </c>
      <c r="C47" s="37" t="s">
        <v>333</v>
      </c>
      <c r="D47" s="32" t="s">
        <v>334</v>
      </c>
      <c r="E47" s="32" t="s">
        <v>336</v>
      </c>
      <c r="F47" s="32"/>
      <c r="G47" s="32" t="str">
        <f>G46</f>
        <v>ОИ</v>
      </c>
      <c r="H47" s="38">
        <f t="shared" si="7"/>
        <v>0</v>
      </c>
      <c r="I47" s="32">
        <f t="shared" si="2"/>
        <v>710000000</v>
      </c>
      <c r="J47" s="32" t="s">
        <v>263</v>
      </c>
      <c r="K47" s="32" t="s">
        <v>171</v>
      </c>
      <c r="L47" s="32" t="s">
        <v>22</v>
      </c>
      <c r="M47" s="32" t="str">
        <f t="shared" si="8"/>
        <v>DDP</v>
      </c>
      <c r="N47" s="38">
        <f t="shared" si="8"/>
        <v>1</v>
      </c>
      <c r="O47" s="32" t="s">
        <v>166</v>
      </c>
      <c r="P47" s="32">
        <v>5</v>
      </c>
      <c r="Q47" s="39">
        <f>135/1.12</f>
        <v>120.53571428571428</v>
      </c>
      <c r="R47" s="40">
        <f>Q47*P47</f>
        <v>602.67857142857133</v>
      </c>
      <c r="S47" s="40">
        <f>R47*1.12</f>
        <v>675</v>
      </c>
      <c r="T47" s="40"/>
      <c r="U47" s="32">
        <v>2020</v>
      </c>
      <c r="V47" s="41"/>
      <c r="W47" s="47"/>
      <c r="X47" s="47"/>
      <c r="Z47" s="4"/>
      <c r="AA47" s="4"/>
    </row>
    <row r="48" spans="1:27" ht="65.099999999999994" customHeight="1">
      <c r="A48" s="32" t="s">
        <v>325</v>
      </c>
      <c r="B48" s="32" t="s">
        <v>80</v>
      </c>
      <c r="C48" s="37" t="s">
        <v>199</v>
      </c>
      <c r="D48" s="32" t="s">
        <v>152</v>
      </c>
      <c r="E48" s="32" t="s">
        <v>153</v>
      </c>
      <c r="F48" s="32"/>
      <c r="G48" s="32" t="str">
        <f>G42</f>
        <v>ОИ</v>
      </c>
      <c r="H48" s="38">
        <f>H42</f>
        <v>0</v>
      </c>
      <c r="I48" s="32">
        <v>710000000</v>
      </c>
      <c r="J48" s="32" t="s">
        <v>263</v>
      </c>
      <c r="K48" s="32" t="s">
        <v>356</v>
      </c>
      <c r="L48" s="32" t="s">
        <v>22</v>
      </c>
      <c r="M48" s="32" t="s">
        <v>23</v>
      </c>
      <c r="N48" s="38">
        <f>N31</f>
        <v>1</v>
      </c>
      <c r="O48" s="32" t="s">
        <v>166</v>
      </c>
      <c r="P48" s="32">
        <v>2</v>
      </c>
      <c r="Q48" s="39">
        <f>263100/1.12</f>
        <v>234910.71428571426</v>
      </c>
      <c r="R48" s="40">
        <f t="shared" si="0"/>
        <v>469821.42857142852</v>
      </c>
      <c r="S48" s="40">
        <f t="shared" si="1"/>
        <v>526200</v>
      </c>
      <c r="T48" s="40"/>
      <c r="U48" s="32">
        <v>2020</v>
      </c>
      <c r="V48" s="41"/>
      <c r="W48" s="47"/>
      <c r="X48" s="47"/>
      <c r="Z48" s="4"/>
      <c r="AA48" s="4"/>
    </row>
    <row r="49" spans="1:27" ht="65.099999999999994" customHeight="1">
      <c r="A49" s="32" t="s">
        <v>326</v>
      </c>
      <c r="B49" s="32" t="s">
        <v>80</v>
      </c>
      <c r="C49" s="37" t="s">
        <v>198</v>
      </c>
      <c r="D49" s="32" t="s">
        <v>127</v>
      </c>
      <c r="E49" s="32" t="s">
        <v>128</v>
      </c>
      <c r="F49" s="32"/>
      <c r="G49" s="32" t="str">
        <f t="shared" si="4"/>
        <v>ОИ</v>
      </c>
      <c r="H49" s="38">
        <f t="shared" ref="H49:H60" si="9">H48</f>
        <v>0</v>
      </c>
      <c r="I49" s="32">
        <v>710000000</v>
      </c>
      <c r="J49" s="32" t="s">
        <v>263</v>
      </c>
      <c r="K49" s="32" t="s">
        <v>356</v>
      </c>
      <c r="L49" s="32" t="s">
        <v>22</v>
      </c>
      <c r="M49" s="32" t="s">
        <v>23</v>
      </c>
      <c r="N49" s="38">
        <v>1</v>
      </c>
      <c r="O49" s="32" t="s">
        <v>166</v>
      </c>
      <c r="P49" s="32">
        <v>2</v>
      </c>
      <c r="Q49" s="39">
        <f>80000/1.12</f>
        <v>71428.57142857142</v>
      </c>
      <c r="R49" s="40">
        <f t="shared" si="0"/>
        <v>142857.14285714284</v>
      </c>
      <c r="S49" s="40">
        <f t="shared" si="1"/>
        <v>160000</v>
      </c>
      <c r="T49" s="40"/>
      <c r="U49" s="32">
        <v>2020</v>
      </c>
      <c r="V49" s="41"/>
      <c r="W49" s="47"/>
      <c r="X49" s="47"/>
      <c r="Z49" s="4"/>
      <c r="AA49" s="4"/>
    </row>
    <row r="50" spans="1:27" ht="65.099999999999994" customHeight="1">
      <c r="A50" s="32" t="s">
        <v>161</v>
      </c>
      <c r="B50" s="32" t="s">
        <v>80</v>
      </c>
      <c r="C50" s="37" t="s">
        <v>197</v>
      </c>
      <c r="D50" s="32" t="s">
        <v>157</v>
      </c>
      <c r="E50" s="32" t="s">
        <v>158</v>
      </c>
      <c r="F50" s="32"/>
      <c r="G50" s="32" t="str">
        <f t="shared" si="4"/>
        <v>ОИ</v>
      </c>
      <c r="H50" s="38">
        <f t="shared" si="9"/>
        <v>0</v>
      </c>
      <c r="I50" s="32">
        <v>710000000</v>
      </c>
      <c r="J50" s="32" t="s">
        <v>263</v>
      </c>
      <c r="K50" s="32" t="s">
        <v>172</v>
      </c>
      <c r="L50" s="32" t="s">
        <v>22</v>
      </c>
      <c r="M50" s="32" t="s">
        <v>23</v>
      </c>
      <c r="N50" s="38">
        <v>1</v>
      </c>
      <c r="O50" s="32" t="s">
        <v>170</v>
      </c>
      <c r="P50" s="32">
        <v>21</v>
      </c>
      <c r="Q50" s="39">
        <f>13000/1.12</f>
        <v>11607.142857142857</v>
      </c>
      <c r="R50" s="40">
        <f t="shared" si="0"/>
        <v>243750</v>
      </c>
      <c r="S50" s="40">
        <f t="shared" si="1"/>
        <v>273000</v>
      </c>
      <c r="T50" s="40"/>
      <c r="U50" s="32">
        <v>2020</v>
      </c>
      <c r="V50" s="41"/>
      <c r="W50" s="47"/>
      <c r="X50" s="47"/>
      <c r="Z50" s="4"/>
      <c r="AA50" s="4"/>
    </row>
    <row r="51" spans="1:27" ht="65.099999999999994" customHeight="1">
      <c r="A51" s="32" t="s">
        <v>130</v>
      </c>
      <c r="B51" s="32" t="s">
        <v>80</v>
      </c>
      <c r="C51" s="37" t="s">
        <v>196</v>
      </c>
      <c r="D51" s="32" t="s">
        <v>164</v>
      </c>
      <c r="E51" s="32" t="s">
        <v>163</v>
      </c>
      <c r="F51" s="32"/>
      <c r="G51" s="32" t="str">
        <f t="shared" si="4"/>
        <v>ОИ</v>
      </c>
      <c r="H51" s="38">
        <f t="shared" si="9"/>
        <v>0</v>
      </c>
      <c r="I51" s="32">
        <v>710000000</v>
      </c>
      <c r="J51" s="32" t="s">
        <v>263</v>
      </c>
      <c r="K51" s="32" t="s">
        <v>172</v>
      </c>
      <c r="L51" s="32" t="s">
        <v>22</v>
      </c>
      <c r="M51" s="32" t="s">
        <v>23</v>
      </c>
      <c r="N51" s="38">
        <v>1</v>
      </c>
      <c r="O51" s="32" t="s">
        <v>166</v>
      </c>
      <c r="P51" s="32">
        <v>3</v>
      </c>
      <c r="Q51" s="39">
        <f>98000/1.12</f>
        <v>87499.999999999985</v>
      </c>
      <c r="R51" s="40">
        <f t="shared" si="0"/>
        <v>262499.99999999994</v>
      </c>
      <c r="S51" s="40">
        <f t="shared" si="1"/>
        <v>293999.99999999994</v>
      </c>
      <c r="T51" s="40"/>
      <c r="U51" s="32">
        <v>2020</v>
      </c>
      <c r="V51" s="41"/>
      <c r="W51" s="47"/>
      <c r="X51" s="47"/>
      <c r="Z51" s="4"/>
      <c r="AA51" s="4"/>
    </row>
    <row r="52" spans="1:27" ht="65.099999999999994" customHeight="1">
      <c r="A52" s="32" t="s">
        <v>327</v>
      </c>
      <c r="B52" s="32" t="s">
        <v>80</v>
      </c>
      <c r="C52" s="37" t="s">
        <v>196</v>
      </c>
      <c r="D52" s="32" t="s">
        <v>164</v>
      </c>
      <c r="E52" s="32" t="s">
        <v>304</v>
      </c>
      <c r="F52" s="32"/>
      <c r="G52" s="32" t="str">
        <f>G51</f>
        <v>ОИ</v>
      </c>
      <c r="H52" s="38">
        <f>H51</f>
        <v>0</v>
      </c>
      <c r="I52" s="32">
        <v>710000000</v>
      </c>
      <c r="J52" s="32" t="s">
        <v>263</v>
      </c>
      <c r="K52" s="32" t="s">
        <v>172</v>
      </c>
      <c r="L52" s="32" t="s">
        <v>22</v>
      </c>
      <c r="M52" s="32" t="s">
        <v>23</v>
      </c>
      <c r="N52" s="38">
        <v>1</v>
      </c>
      <c r="O52" s="32" t="s">
        <v>166</v>
      </c>
      <c r="P52" s="32">
        <v>10</v>
      </c>
      <c r="Q52" s="39">
        <f>150000/1.12</f>
        <v>133928.57142857142</v>
      </c>
      <c r="R52" s="40">
        <f>Q52*P52</f>
        <v>1339285.7142857141</v>
      </c>
      <c r="S52" s="40">
        <f>R52*1.12</f>
        <v>1500000</v>
      </c>
      <c r="T52" s="40"/>
      <c r="U52" s="32">
        <v>2020</v>
      </c>
      <c r="V52" s="41"/>
      <c r="W52" s="47"/>
      <c r="X52" s="47"/>
      <c r="Z52" s="4"/>
      <c r="AA52" s="4"/>
    </row>
    <row r="53" spans="1:27" ht="65.099999999999994" customHeight="1">
      <c r="A53" s="32" t="s">
        <v>328</v>
      </c>
      <c r="B53" s="32" t="s">
        <v>80</v>
      </c>
      <c r="C53" s="37" t="s">
        <v>269</v>
      </c>
      <c r="D53" s="32" t="s">
        <v>267</v>
      </c>
      <c r="E53" s="32" t="s">
        <v>268</v>
      </c>
      <c r="F53" s="32"/>
      <c r="G53" s="32" t="str">
        <f t="shared" ref="G53:H55" si="10">G51</f>
        <v>ОИ</v>
      </c>
      <c r="H53" s="38">
        <f t="shared" si="10"/>
        <v>0</v>
      </c>
      <c r="I53" s="32">
        <f t="shared" ref="I53:I60" si="11">$I$9</f>
        <v>710000000</v>
      </c>
      <c r="J53" s="32" t="s">
        <v>263</v>
      </c>
      <c r="K53" s="32" t="s">
        <v>173</v>
      </c>
      <c r="L53" s="32" t="s">
        <v>22</v>
      </c>
      <c r="M53" s="32" t="s">
        <v>23</v>
      </c>
      <c r="N53" s="38">
        <v>1</v>
      </c>
      <c r="O53" s="32" t="s">
        <v>166</v>
      </c>
      <c r="P53" s="32">
        <v>40</v>
      </c>
      <c r="Q53" s="39">
        <f>700/1.12</f>
        <v>624.99999999999989</v>
      </c>
      <c r="R53" s="40">
        <f>Q53*P53</f>
        <v>24999.999999999996</v>
      </c>
      <c r="S53" s="40">
        <f t="shared" si="1"/>
        <v>28000</v>
      </c>
      <c r="T53" s="40"/>
      <c r="U53" s="32">
        <v>2020</v>
      </c>
      <c r="V53" s="41"/>
      <c r="W53" s="47"/>
      <c r="X53" s="47"/>
      <c r="Z53" s="4"/>
      <c r="AA53" s="4"/>
    </row>
    <row r="54" spans="1:27" ht="65.099999999999994" customHeight="1">
      <c r="A54" s="32" t="s">
        <v>131</v>
      </c>
      <c r="B54" s="32" t="s">
        <v>80</v>
      </c>
      <c r="C54" s="37" t="s">
        <v>273</v>
      </c>
      <c r="D54" s="32" t="s">
        <v>260</v>
      </c>
      <c r="E54" s="32" t="s">
        <v>274</v>
      </c>
      <c r="F54" s="32"/>
      <c r="G54" s="32" t="str">
        <f t="shared" si="10"/>
        <v>ОИ</v>
      </c>
      <c r="H54" s="38">
        <f t="shared" si="10"/>
        <v>0</v>
      </c>
      <c r="I54" s="32">
        <f t="shared" si="11"/>
        <v>710000000</v>
      </c>
      <c r="J54" s="32" t="s">
        <v>263</v>
      </c>
      <c r="K54" s="32" t="s">
        <v>356</v>
      </c>
      <c r="L54" s="32" t="s">
        <v>22</v>
      </c>
      <c r="M54" s="32" t="s">
        <v>23</v>
      </c>
      <c r="N54" s="38">
        <v>1</v>
      </c>
      <c r="O54" s="32" t="s">
        <v>166</v>
      </c>
      <c r="P54" s="32">
        <v>1</v>
      </c>
      <c r="Q54" s="39">
        <f>60000/1.12</f>
        <v>53571.428571428565</v>
      </c>
      <c r="R54" s="40">
        <f>Q54*P54</f>
        <v>53571.428571428565</v>
      </c>
      <c r="S54" s="40">
        <f>R54*1.12</f>
        <v>60000</v>
      </c>
      <c r="T54" s="40"/>
      <c r="U54" s="32">
        <v>2020</v>
      </c>
      <c r="V54" s="41"/>
      <c r="W54" s="47"/>
      <c r="X54" s="47"/>
      <c r="Z54" s="4"/>
      <c r="AA54" s="4"/>
    </row>
    <row r="55" spans="1:27" ht="65.099999999999994" customHeight="1">
      <c r="A55" s="32" t="s">
        <v>329</v>
      </c>
      <c r="B55" s="32" t="s">
        <v>80</v>
      </c>
      <c r="C55" s="37" t="s">
        <v>261</v>
      </c>
      <c r="D55" s="32" t="s">
        <v>262</v>
      </c>
      <c r="E55" s="32" t="s">
        <v>262</v>
      </c>
      <c r="F55" s="32"/>
      <c r="G55" s="32" t="str">
        <f t="shared" si="10"/>
        <v>ОИ</v>
      </c>
      <c r="H55" s="38">
        <f t="shared" si="10"/>
        <v>0</v>
      </c>
      <c r="I55" s="32">
        <f t="shared" si="11"/>
        <v>710000000</v>
      </c>
      <c r="J55" s="32" t="s">
        <v>263</v>
      </c>
      <c r="K55" s="32" t="s">
        <v>356</v>
      </c>
      <c r="L55" s="32" t="s">
        <v>22</v>
      </c>
      <c r="M55" s="32" t="s">
        <v>23</v>
      </c>
      <c r="N55" s="38">
        <v>1</v>
      </c>
      <c r="O55" s="32" t="s">
        <v>166</v>
      </c>
      <c r="P55" s="32">
        <v>1</v>
      </c>
      <c r="Q55" s="39">
        <f>40000/1.12</f>
        <v>35714.28571428571</v>
      </c>
      <c r="R55" s="40">
        <f>Q55*P55</f>
        <v>35714.28571428571</v>
      </c>
      <c r="S55" s="40">
        <f>R55*1.12</f>
        <v>40000</v>
      </c>
      <c r="T55" s="40"/>
      <c r="U55" s="32">
        <v>2020</v>
      </c>
      <c r="V55" s="41"/>
      <c r="W55" s="47"/>
      <c r="X55" s="47"/>
      <c r="Z55" s="4"/>
      <c r="AA55" s="4"/>
    </row>
    <row r="56" spans="1:27" ht="65.099999999999994" customHeight="1">
      <c r="A56" s="32" t="s">
        <v>162</v>
      </c>
      <c r="B56" s="32" t="s">
        <v>80</v>
      </c>
      <c r="C56" s="37" t="s">
        <v>271</v>
      </c>
      <c r="D56" s="32" t="s">
        <v>272</v>
      </c>
      <c r="E56" s="32" t="s">
        <v>276</v>
      </c>
      <c r="F56" s="32"/>
      <c r="G56" s="32" t="str">
        <f t="shared" si="4"/>
        <v>ОИ</v>
      </c>
      <c r="H56" s="38">
        <f t="shared" si="9"/>
        <v>0</v>
      </c>
      <c r="I56" s="32">
        <f t="shared" si="11"/>
        <v>710000000</v>
      </c>
      <c r="J56" s="32" t="s">
        <v>263</v>
      </c>
      <c r="K56" s="32" t="s">
        <v>356</v>
      </c>
      <c r="L56" s="32" t="s">
        <v>22</v>
      </c>
      <c r="M56" s="32" t="str">
        <f>M55</f>
        <v>DDP</v>
      </c>
      <c r="N56" s="38">
        <v>1</v>
      </c>
      <c r="O56" s="32" t="s">
        <v>166</v>
      </c>
      <c r="P56" s="32">
        <v>1</v>
      </c>
      <c r="Q56" s="39">
        <f>50000/1.12</f>
        <v>44642.857142857138</v>
      </c>
      <c r="R56" s="40">
        <f>Q56*P56</f>
        <v>44642.857142857138</v>
      </c>
      <c r="S56" s="40">
        <f>R56*1.12</f>
        <v>50000</v>
      </c>
      <c r="T56" s="40"/>
      <c r="U56" s="32">
        <v>2020</v>
      </c>
      <c r="V56" s="41"/>
      <c r="W56" s="47"/>
      <c r="X56" s="47"/>
      <c r="Z56" s="4"/>
      <c r="AA56" s="4"/>
    </row>
    <row r="57" spans="1:27" ht="65.099999999999994" customHeight="1">
      <c r="A57" s="32" t="s">
        <v>330</v>
      </c>
      <c r="B57" s="32" t="s">
        <v>80</v>
      </c>
      <c r="C57" s="37" t="s">
        <v>305</v>
      </c>
      <c r="D57" s="32" t="s">
        <v>306</v>
      </c>
      <c r="E57" s="32" t="s">
        <v>307</v>
      </c>
      <c r="F57" s="32"/>
      <c r="G57" s="32" t="str">
        <f t="shared" si="4"/>
        <v>ОИ</v>
      </c>
      <c r="H57" s="38">
        <f t="shared" si="9"/>
        <v>0</v>
      </c>
      <c r="I57" s="32">
        <f t="shared" si="11"/>
        <v>710000000</v>
      </c>
      <c r="J57" s="32" t="s">
        <v>263</v>
      </c>
      <c r="K57" s="32" t="s">
        <v>277</v>
      </c>
      <c r="L57" s="32" t="s">
        <v>22</v>
      </c>
      <c r="M57" s="32" t="s">
        <v>23</v>
      </c>
      <c r="N57" s="38">
        <v>1</v>
      </c>
      <c r="O57" s="32" t="s">
        <v>166</v>
      </c>
      <c r="P57" s="32">
        <v>1</v>
      </c>
      <c r="Q57" s="39">
        <f>65000/1.12</f>
        <v>58035.714285714283</v>
      </c>
      <c r="R57" s="40">
        <f>P57*Q57</f>
        <v>58035.714285714283</v>
      </c>
      <c r="S57" s="40">
        <f>R57*1.12</f>
        <v>65000</v>
      </c>
      <c r="T57" s="40"/>
      <c r="U57" s="32">
        <v>2020</v>
      </c>
      <c r="V57" s="41"/>
      <c r="W57" s="47"/>
      <c r="X57" s="47"/>
      <c r="Z57" s="4"/>
      <c r="AA57" s="4"/>
    </row>
    <row r="58" spans="1:27" ht="65.099999999999994" customHeight="1">
      <c r="A58" s="32" t="s">
        <v>339</v>
      </c>
      <c r="B58" s="32" t="s">
        <v>80</v>
      </c>
      <c r="C58" s="37" t="s">
        <v>342</v>
      </c>
      <c r="D58" s="32" t="s">
        <v>343</v>
      </c>
      <c r="E58" s="32" t="s">
        <v>344</v>
      </c>
      <c r="F58" s="32"/>
      <c r="G58" s="32" t="str">
        <f t="shared" si="4"/>
        <v>ОИ</v>
      </c>
      <c r="H58" s="38">
        <f t="shared" si="9"/>
        <v>0</v>
      </c>
      <c r="I58" s="32">
        <f t="shared" si="11"/>
        <v>710000000</v>
      </c>
      <c r="J58" s="32" t="s">
        <v>263</v>
      </c>
      <c r="K58" s="32" t="s">
        <v>175</v>
      </c>
      <c r="L58" s="32" t="s">
        <v>22</v>
      </c>
      <c r="M58" s="32" t="s">
        <v>23</v>
      </c>
      <c r="N58" s="38">
        <v>1</v>
      </c>
      <c r="O58" s="32" t="s">
        <v>166</v>
      </c>
      <c r="P58" s="32">
        <v>1</v>
      </c>
      <c r="Q58" s="39">
        <f>R58/1.12</f>
        <v>1117234.8214285714</v>
      </c>
      <c r="R58" s="40">
        <v>1251303</v>
      </c>
      <c r="S58" s="40">
        <f>R58*P58</f>
        <v>1251303</v>
      </c>
      <c r="T58" s="40"/>
      <c r="U58" s="32">
        <v>2020</v>
      </c>
      <c r="V58" s="41"/>
      <c r="W58" s="47"/>
      <c r="X58" s="47"/>
      <c r="Z58" s="4"/>
      <c r="AA58" s="4"/>
    </row>
    <row r="59" spans="1:27" ht="65.099999999999994" customHeight="1">
      <c r="A59" s="32" t="s">
        <v>340</v>
      </c>
      <c r="B59" s="32" t="s">
        <v>80</v>
      </c>
      <c r="C59" s="37" t="s">
        <v>350</v>
      </c>
      <c r="D59" s="32" t="s">
        <v>345</v>
      </c>
      <c r="E59" s="32" t="s">
        <v>351</v>
      </c>
      <c r="F59" s="32"/>
      <c r="G59" s="32" t="str">
        <f t="shared" si="4"/>
        <v>ОИ</v>
      </c>
      <c r="H59" s="38">
        <f t="shared" si="9"/>
        <v>0</v>
      </c>
      <c r="I59" s="32">
        <f t="shared" si="11"/>
        <v>710000000</v>
      </c>
      <c r="J59" s="32" t="s">
        <v>263</v>
      </c>
      <c r="K59" s="32" t="s">
        <v>175</v>
      </c>
      <c r="L59" s="32" t="s">
        <v>22</v>
      </c>
      <c r="M59" s="32" t="s">
        <v>23</v>
      </c>
      <c r="N59" s="38">
        <v>1</v>
      </c>
      <c r="O59" s="32" t="s">
        <v>166</v>
      </c>
      <c r="P59" s="32">
        <v>1</v>
      </c>
      <c r="Q59" s="39">
        <f>R59/1.12</f>
        <v>835759.82142857136</v>
      </c>
      <c r="R59" s="40">
        <v>936051</v>
      </c>
      <c r="S59" s="40">
        <f>R59*P59</f>
        <v>936051</v>
      </c>
      <c r="T59" s="40"/>
      <c r="U59" s="32">
        <v>2020</v>
      </c>
      <c r="V59" s="41"/>
      <c r="W59" s="47"/>
      <c r="X59" s="47"/>
      <c r="Z59" s="4"/>
      <c r="AA59" s="4"/>
    </row>
    <row r="60" spans="1:27" ht="65.099999999999994" customHeight="1">
      <c r="A60" s="32" t="s">
        <v>341</v>
      </c>
      <c r="B60" s="32" t="s">
        <v>80</v>
      </c>
      <c r="C60" s="37" t="s">
        <v>346</v>
      </c>
      <c r="D60" s="32" t="s">
        <v>347</v>
      </c>
      <c r="E60" s="32" t="s">
        <v>348</v>
      </c>
      <c r="F60" s="32"/>
      <c r="G60" s="32" t="str">
        <f t="shared" si="4"/>
        <v>ОИ</v>
      </c>
      <c r="H60" s="38">
        <f t="shared" si="9"/>
        <v>0</v>
      </c>
      <c r="I60" s="32">
        <f t="shared" si="11"/>
        <v>710000000</v>
      </c>
      <c r="J60" s="32" t="s">
        <v>263</v>
      </c>
      <c r="K60" s="32" t="s">
        <v>175</v>
      </c>
      <c r="L60" s="32" t="s">
        <v>22</v>
      </c>
      <c r="M60" s="32" t="s">
        <v>23</v>
      </c>
      <c r="N60" s="38">
        <v>1</v>
      </c>
      <c r="O60" s="32" t="s">
        <v>166</v>
      </c>
      <c r="P60" s="32">
        <v>1</v>
      </c>
      <c r="Q60" s="39">
        <f>R60/1.12</f>
        <v>438480.3571428571</v>
      </c>
      <c r="R60" s="40">
        <v>491098</v>
      </c>
      <c r="S60" s="40">
        <f>R60*P60</f>
        <v>491098</v>
      </c>
      <c r="T60" s="40"/>
      <c r="U60" s="32">
        <v>2020</v>
      </c>
      <c r="V60" s="41"/>
      <c r="W60" s="47"/>
      <c r="X60" s="47"/>
      <c r="Z60" s="4"/>
      <c r="AA60" s="4"/>
    </row>
    <row r="61" spans="1:27" s="6" customFormat="1" ht="14.25">
      <c r="A61" s="50" t="s">
        <v>26</v>
      </c>
      <c r="B61" s="50"/>
      <c r="C61" s="50"/>
      <c r="D61" s="50"/>
      <c r="E61" s="50"/>
      <c r="F61" s="33"/>
      <c r="G61" s="32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42">
        <f>SUM(R9:R60)</f>
        <v>6675023.4285714282</v>
      </c>
      <c r="S61" s="42">
        <f>SUM(S9:S60)</f>
        <v>7154612</v>
      </c>
      <c r="T61" s="33"/>
      <c r="U61" s="42"/>
      <c r="V61" s="42"/>
      <c r="W61" s="47"/>
      <c r="X61" s="47"/>
      <c r="Y61" s="25"/>
    </row>
    <row r="62" spans="1:27" ht="30" customHeight="1">
      <c r="A62" s="50" t="s">
        <v>294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47"/>
      <c r="X62" s="47"/>
      <c r="Y62" s="28"/>
      <c r="AA62" s="4"/>
    </row>
    <row r="63" spans="1:27" ht="65.099999999999994" customHeight="1">
      <c r="A63" s="32" t="s">
        <v>28</v>
      </c>
      <c r="B63" s="32" t="s">
        <v>80</v>
      </c>
      <c r="C63" s="37" t="s">
        <v>195</v>
      </c>
      <c r="D63" s="32" t="s">
        <v>48</v>
      </c>
      <c r="E63" s="32" t="s">
        <v>227</v>
      </c>
      <c r="F63" s="32"/>
      <c r="G63" s="32" t="s">
        <v>24</v>
      </c>
      <c r="H63" s="38">
        <v>1</v>
      </c>
      <c r="I63" s="32">
        <v>710000000</v>
      </c>
      <c r="J63" s="32" t="s">
        <v>263</v>
      </c>
      <c r="K63" s="32" t="s">
        <v>173</v>
      </c>
      <c r="L63" s="32" t="s">
        <v>22</v>
      </c>
      <c r="M63" s="32" t="s">
        <v>23</v>
      </c>
      <c r="N63" s="38" t="s">
        <v>32</v>
      </c>
      <c r="O63" s="32" t="s">
        <v>29</v>
      </c>
      <c r="P63" s="32"/>
      <c r="Q63" s="39"/>
      <c r="R63" s="40">
        <f t="shared" ref="R63:R68" si="12">S63/1.12</f>
        <v>2732142.8571428568</v>
      </c>
      <c r="S63" s="40">
        <v>3060000</v>
      </c>
      <c r="T63" s="40"/>
      <c r="U63" s="32">
        <v>2020</v>
      </c>
      <c r="V63" s="41"/>
      <c r="W63" s="47"/>
      <c r="X63" s="47"/>
      <c r="Z63" s="4"/>
      <c r="AA63" s="4"/>
    </row>
    <row r="64" spans="1:27" ht="65.099999999999994" customHeight="1">
      <c r="A64" s="32" t="s">
        <v>30</v>
      </c>
      <c r="B64" s="32" t="s">
        <v>80</v>
      </c>
      <c r="C64" s="37" t="s">
        <v>194</v>
      </c>
      <c r="D64" s="32" t="s">
        <v>228</v>
      </c>
      <c r="E64" s="32" t="s">
        <v>228</v>
      </c>
      <c r="F64" s="32"/>
      <c r="G64" s="32" t="s">
        <v>24</v>
      </c>
      <c r="H64" s="38">
        <v>1</v>
      </c>
      <c r="I64" s="32">
        <v>710000000</v>
      </c>
      <c r="J64" s="32" t="s">
        <v>263</v>
      </c>
      <c r="K64" s="32" t="s">
        <v>173</v>
      </c>
      <c r="L64" s="32" t="s">
        <v>22</v>
      </c>
      <c r="M64" s="32" t="s">
        <v>23</v>
      </c>
      <c r="N64" s="38" t="s">
        <v>25</v>
      </c>
      <c r="O64" s="32" t="s">
        <v>29</v>
      </c>
      <c r="P64" s="32"/>
      <c r="Q64" s="39"/>
      <c r="R64" s="40">
        <f>S64/1.12</f>
        <v>1071428.5714285714</v>
      </c>
      <c r="S64" s="40">
        <v>1200000</v>
      </c>
      <c r="T64" s="40"/>
      <c r="U64" s="32">
        <v>2020</v>
      </c>
      <c r="V64" s="41"/>
      <c r="W64" s="47"/>
      <c r="X64" s="47"/>
      <c r="Z64" s="4"/>
      <c r="AA64" s="4"/>
    </row>
    <row r="65" spans="1:27" ht="65.099999999999994" customHeight="1">
      <c r="A65" s="32" t="s">
        <v>31</v>
      </c>
      <c r="B65" s="32" t="s">
        <v>80</v>
      </c>
      <c r="C65" s="37" t="s">
        <v>193</v>
      </c>
      <c r="D65" s="32" t="s">
        <v>229</v>
      </c>
      <c r="E65" s="32" t="s">
        <v>229</v>
      </c>
      <c r="F65" s="32"/>
      <c r="G65" s="32" t="s">
        <v>24</v>
      </c>
      <c r="H65" s="38">
        <v>1</v>
      </c>
      <c r="I65" s="32">
        <v>710000000</v>
      </c>
      <c r="J65" s="32" t="s">
        <v>263</v>
      </c>
      <c r="K65" s="32" t="s">
        <v>173</v>
      </c>
      <c r="L65" s="32" t="s">
        <v>22</v>
      </c>
      <c r="M65" s="32" t="s">
        <v>23</v>
      </c>
      <c r="N65" s="38" t="s">
        <v>32</v>
      </c>
      <c r="O65" s="32" t="s">
        <v>29</v>
      </c>
      <c r="P65" s="32"/>
      <c r="Q65" s="39"/>
      <c r="R65" s="40">
        <f t="shared" si="12"/>
        <v>41399999.999999993</v>
      </c>
      <c r="S65" s="40">
        <v>46368000</v>
      </c>
      <c r="T65" s="40"/>
      <c r="U65" s="32">
        <v>2020</v>
      </c>
      <c r="V65" s="41"/>
      <c r="W65" s="47"/>
      <c r="X65" s="47"/>
      <c r="Z65" s="4"/>
      <c r="AA65" s="4"/>
    </row>
    <row r="66" spans="1:27" ht="65.099999999999994" customHeight="1">
      <c r="A66" s="32" t="s">
        <v>33</v>
      </c>
      <c r="B66" s="32" t="s">
        <v>80</v>
      </c>
      <c r="C66" s="37" t="s">
        <v>192</v>
      </c>
      <c r="D66" s="32" t="s">
        <v>230</v>
      </c>
      <c r="E66" s="32" t="s">
        <v>231</v>
      </c>
      <c r="F66" s="32"/>
      <c r="G66" s="32" t="s">
        <v>41</v>
      </c>
      <c r="H66" s="38">
        <v>1</v>
      </c>
      <c r="I66" s="32">
        <v>710000000</v>
      </c>
      <c r="J66" s="32" t="s">
        <v>263</v>
      </c>
      <c r="K66" s="32" t="s">
        <v>173</v>
      </c>
      <c r="L66" s="32" t="s">
        <v>22</v>
      </c>
      <c r="M66" s="32" t="s">
        <v>23</v>
      </c>
      <c r="N66" s="38" t="s">
        <v>32</v>
      </c>
      <c r="O66" s="32" t="s">
        <v>29</v>
      </c>
      <c r="P66" s="32"/>
      <c r="Q66" s="39"/>
      <c r="R66" s="40">
        <f>S66/1.12</f>
        <v>3003214.2857142854</v>
      </c>
      <c r="S66" s="40">
        <f>4800000-1436400</f>
        <v>3363600</v>
      </c>
      <c r="T66" s="40"/>
      <c r="U66" s="32">
        <v>2020</v>
      </c>
      <c r="V66" s="41"/>
      <c r="W66" s="47"/>
      <c r="X66" s="47"/>
      <c r="Z66" s="4"/>
      <c r="AA66" s="4"/>
    </row>
    <row r="67" spans="1:27" ht="65.099999999999994" customHeight="1">
      <c r="A67" s="32" t="s">
        <v>34</v>
      </c>
      <c r="B67" s="32" t="s">
        <v>80</v>
      </c>
      <c r="C67" s="37" t="s">
        <v>191</v>
      </c>
      <c r="D67" s="32" t="s">
        <v>232</v>
      </c>
      <c r="E67" s="32" t="s">
        <v>337</v>
      </c>
      <c r="F67" s="32"/>
      <c r="G67" s="32" t="s">
        <v>41</v>
      </c>
      <c r="H67" s="38">
        <v>1</v>
      </c>
      <c r="I67" s="32">
        <v>710000000</v>
      </c>
      <c r="J67" s="32" t="s">
        <v>263</v>
      </c>
      <c r="K67" s="32" t="s">
        <v>173</v>
      </c>
      <c r="L67" s="32" t="s">
        <v>22</v>
      </c>
      <c r="M67" s="32" t="s">
        <v>23</v>
      </c>
      <c r="N67" s="38" t="s">
        <v>32</v>
      </c>
      <c r="O67" s="32" t="s">
        <v>29</v>
      </c>
      <c r="P67" s="32"/>
      <c r="Q67" s="39"/>
      <c r="R67" s="40">
        <f t="shared" si="12"/>
        <v>4071428.5714285709</v>
      </c>
      <c r="S67" s="40">
        <v>4560000</v>
      </c>
      <c r="T67" s="40"/>
      <c r="U67" s="32">
        <v>2020</v>
      </c>
      <c r="V67" s="41"/>
      <c r="W67" s="47"/>
      <c r="X67" s="47"/>
      <c r="Z67" s="4"/>
      <c r="AA67" s="4"/>
    </row>
    <row r="68" spans="1:27" ht="65.099999999999994" customHeight="1">
      <c r="A68" s="32" t="s">
        <v>35</v>
      </c>
      <c r="B68" s="32" t="s">
        <v>80</v>
      </c>
      <c r="C68" s="37" t="s">
        <v>191</v>
      </c>
      <c r="D68" s="32" t="s">
        <v>232</v>
      </c>
      <c r="E68" s="32" t="s">
        <v>338</v>
      </c>
      <c r="F68" s="32"/>
      <c r="G68" s="32" t="s">
        <v>41</v>
      </c>
      <c r="H68" s="38">
        <v>1</v>
      </c>
      <c r="I68" s="32">
        <v>710000000</v>
      </c>
      <c r="J68" s="32" t="s">
        <v>263</v>
      </c>
      <c r="K68" s="32" t="s">
        <v>173</v>
      </c>
      <c r="L68" s="32" t="s">
        <v>22</v>
      </c>
      <c r="M68" s="32" t="s">
        <v>23</v>
      </c>
      <c r="N68" s="38" t="s">
        <v>32</v>
      </c>
      <c r="O68" s="32" t="s">
        <v>29</v>
      </c>
      <c r="P68" s="32"/>
      <c r="Q68" s="39"/>
      <c r="R68" s="40">
        <f t="shared" si="12"/>
        <v>7199999.9999999991</v>
      </c>
      <c r="S68" s="40">
        <v>8064000</v>
      </c>
      <c r="T68" s="40"/>
      <c r="U68" s="32">
        <v>2020</v>
      </c>
      <c r="V68" s="41"/>
      <c r="W68" s="47"/>
      <c r="X68" s="47"/>
      <c r="Z68" s="4"/>
      <c r="AA68" s="4"/>
    </row>
    <row r="69" spans="1:27" ht="65.099999999999994" customHeight="1">
      <c r="A69" s="32" t="s">
        <v>36</v>
      </c>
      <c r="B69" s="32" t="s">
        <v>80</v>
      </c>
      <c r="C69" s="37" t="s">
        <v>353</v>
      </c>
      <c r="D69" s="32" t="s">
        <v>354</v>
      </c>
      <c r="E69" s="32" t="s">
        <v>355</v>
      </c>
      <c r="F69" s="32"/>
      <c r="G69" s="32" t="s">
        <v>24</v>
      </c>
      <c r="H69" s="38">
        <v>1</v>
      </c>
      <c r="I69" s="32">
        <v>710000000</v>
      </c>
      <c r="J69" s="32" t="s">
        <v>263</v>
      </c>
      <c r="K69" s="32" t="s">
        <v>175</v>
      </c>
      <c r="L69" s="32" t="s">
        <v>22</v>
      </c>
      <c r="M69" s="32" t="s">
        <v>23</v>
      </c>
      <c r="N69" s="38" t="s">
        <v>32</v>
      </c>
      <c r="O69" s="32" t="s">
        <v>29</v>
      </c>
      <c r="P69" s="32"/>
      <c r="Q69" s="39"/>
      <c r="R69" s="40">
        <f>S69/1.12</f>
        <v>1282499.9999999998</v>
      </c>
      <c r="S69" s="40">
        <v>1436400</v>
      </c>
      <c r="T69" s="40"/>
      <c r="U69" s="32">
        <v>2020</v>
      </c>
      <c r="V69" s="41"/>
      <c r="W69" s="47"/>
      <c r="X69" s="47"/>
      <c r="Z69" s="4"/>
      <c r="AA69" s="4"/>
    </row>
    <row r="70" spans="1:27" ht="65.099999999999994" customHeight="1">
      <c r="A70" s="32" t="s">
        <v>37</v>
      </c>
      <c r="B70" s="32" t="s">
        <v>80</v>
      </c>
      <c r="C70" s="37" t="s">
        <v>187</v>
      </c>
      <c r="D70" s="32" t="s">
        <v>244</v>
      </c>
      <c r="E70" s="32" t="s">
        <v>244</v>
      </c>
      <c r="F70" s="32"/>
      <c r="G70" s="32" t="s">
        <v>24</v>
      </c>
      <c r="H70" s="38">
        <v>1</v>
      </c>
      <c r="I70" s="32">
        <v>710000000</v>
      </c>
      <c r="J70" s="32" t="s">
        <v>263</v>
      </c>
      <c r="K70" s="32" t="s">
        <v>174</v>
      </c>
      <c r="L70" s="32" t="s">
        <v>22</v>
      </c>
      <c r="M70" s="32" t="s">
        <v>23</v>
      </c>
      <c r="N70" s="38">
        <v>1</v>
      </c>
      <c r="O70" s="32" t="s">
        <v>29</v>
      </c>
      <c r="P70" s="32"/>
      <c r="Q70" s="39"/>
      <c r="R70" s="40">
        <v>188000</v>
      </c>
      <c r="S70" s="40"/>
      <c r="T70" s="40"/>
      <c r="U70" s="32">
        <v>2020</v>
      </c>
      <c r="V70" s="41"/>
      <c r="W70" s="47"/>
      <c r="X70" s="47"/>
      <c r="Z70" s="4"/>
      <c r="AA70" s="4"/>
    </row>
    <row r="71" spans="1:27" ht="65.099999999999994" customHeight="1">
      <c r="A71" s="32" t="s">
        <v>38</v>
      </c>
      <c r="B71" s="32" t="s">
        <v>80</v>
      </c>
      <c r="C71" s="37" t="s">
        <v>179</v>
      </c>
      <c r="D71" s="32" t="s">
        <v>79</v>
      </c>
      <c r="E71" s="32" t="s">
        <v>154</v>
      </c>
      <c r="F71" s="32"/>
      <c r="G71" s="32" t="s">
        <v>24</v>
      </c>
      <c r="H71" s="38">
        <v>1</v>
      </c>
      <c r="I71" s="32">
        <v>710000000</v>
      </c>
      <c r="J71" s="32" t="s">
        <v>263</v>
      </c>
      <c r="K71" s="32" t="s">
        <v>175</v>
      </c>
      <c r="L71" s="32" t="s">
        <v>22</v>
      </c>
      <c r="M71" s="32" t="s">
        <v>23</v>
      </c>
      <c r="N71" s="38">
        <v>1</v>
      </c>
      <c r="O71" s="32" t="s">
        <v>29</v>
      </c>
      <c r="P71" s="32"/>
      <c r="Q71" s="39"/>
      <c r="R71" s="40">
        <f>S71/1.12</f>
        <v>446428.57142857136</v>
      </c>
      <c r="S71" s="40">
        <v>500000</v>
      </c>
      <c r="T71" s="40"/>
      <c r="U71" s="32">
        <v>2020</v>
      </c>
      <c r="V71" s="41"/>
      <c r="W71" s="47"/>
      <c r="X71" s="47"/>
      <c r="Z71" s="4"/>
      <c r="AA71" s="4"/>
    </row>
    <row r="72" spans="1:27" ht="65.099999999999994" customHeight="1">
      <c r="A72" s="32" t="s">
        <v>49</v>
      </c>
      <c r="B72" s="32" t="s">
        <v>80</v>
      </c>
      <c r="C72" s="37" t="s">
        <v>190</v>
      </c>
      <c r="D72" s="32" t="s">
        <v>233</v>
      </c>
      <c r="E72" s="32" t="s">
        <v>233</v>
      </c>
      <c r="F72" s="32"/>
      <c r="G72" s="32" t="s">
        <v>24</v>
      </c>
      <c r="H72" s="38">
        <v>1</v>
      </c>
      <c r="I72" s="32">
        <v>710000000</v>
      </c>
      <c r="J72" s="32" t="s">
        <v>263</v>
      </c>
      <c r="K72" s="32" t="s">
        <v>173</v>
      </c>
      <c r="L72" s="32" t="s">
        <v>22</v>
      </c>
      <c r="M72" s="32" t="s">
        <v>23</v>
      </c>
      <c r="N72" s="38" t="s">
        <v>25</v>
      </c>
      <c r="O72" s="32" t="s">
        <v>29</v>
      </c>
      <c r="P72" s="32"/>
      <c r="Q72" s="39"/>
      <c r="R72" s="40">
        <f t="shared" ref="R72:R79" si="13">S72/1.12</f>
        <v>385714.28571428568</v>
      </c>
      <c r="S72" s="40">
        <v>432000</v>
      </c>
      <c r="T72" s="40"/>
      <c r="U72" s="32">
        <v>2020</v>
      </c>
      <c r="V72" s="41"/>
      <c r="W72" s="47"/>
      <c r="X72" s="47"/>
      <c r="Z72" s="4"/>
      <c r="AA72" s="4"/>
    </row>
    <row r="73" spans="1:27" ht="65.099999999999994" customHeight="1">
      <c r="A73" s="32" t="s">
        <v>50</v>
      </c>
      <c r="B73" s="32" t="s">
        <v>80</v>
      </c>
      <c r="C73" s="37" t="s">
        <v>265</v>
      </c>
      <c r="D73" s="32" t="s">
        <v>266</v>
      </c>
      <c r="E73" s="32" t="s">
        <v>266</v>
      </c>
      <c r="F73" s="32"/>
      <c r="G73" s="32" t="s">
        <v>24</v>
      </c>
      <c r="H73" s="38">
        <v>1</v>
      </c>
      <c r="I73" s="32">
        <v>710000000</v>
      </c>
      <c r="J73" s="32" t="s">
        <v>263</v>
      </c>
      <c r="K73" s="32" t="s">
        <v>173</v>
      </c>
      <c r="L73" s="32" t="s">
        <v>22</v>
      </c>
      <c r="M73" s="32" t="s">
        <v>23</v>
      </c>
      <c r="N73" s="38" t="s">
        <v>32</v>
      </c>
      <c r="O73" s="32" t="s">
        <v>29</v>
      </c>
      <c r="P73" s="32"/>
      <c r="Q73" s="39"/>
      <c r="R73" s="40">
        <f t="shared" si="13"/>
        <v>3214285.7142857141</v>
      </c>
      <c r="S73" s="40">
        <v>3600000</v>
      </c>
      <c r="T73" s="40"/>
      <c r="U73" s="32">
        <v>2019</v>
      </c>
      <c r="V73" s="41"/>
      <c r="W73" s="47"/>
      <c r="X73" s="47"/>
      <c r="Z73" s="4"/>
      <c r="AA73" s="4"/>
    </row>
    <row r="74" spans="1:27" ht="65.099999999999994" customHeight="1">
      <c r="A74" s="32" t="s">
        <v>43</v>
      </c>
      <c r="B74" s="32" t="s">
        <v>80</v>
      </c>
      <c r="C74" s="37" t="s">
        <v>234</v>
      </c>
      <c r="D74" s="32" t="s">
        <v>235</v>
      </c>
      <c r="E74" s="32" t="s">
        <v>235</v>
      </c>
      <c r="F74" s="32"/>
      <c r="G74" s="32" t="s">
        <v>24</v>
      </c>
      <c r="H74" s="38">
        <v>1</v>
      </c>
      <c r="I74" s="32">
        <v>710000000</v>
      </c>
      <c r="J74" s="32" t="s">
        <v>263</v>
      </c>
      <c r="K74" s="32" t="s">
        <v>173</v>
      </c>
      <c r="L74" s="32" t="s">
        <v>22</v>
      </c>
      <c r="M74" s="32" t="s">
        <v>23</v>
      </c>
      <c r="N74" s="38" t="s">
        <v>32</v>
      </c>
      <c r="O74" s="32" t="s">
        <v>29</v>
      </c>
      <c r="P74" s="32"/>
      <c r="Q74" s="39"/>
      <c r="R74" s="40">
        <f t="shared" si="13"/>
        <v>535714.28571428568</v>
      </c>
      <c r="S74" s="40">
        <v>600000</v>
      </c>
      <c r="T74" s="40"/>
      <c r="U74" s="32">
        <v>2020</v>
      </c>
      <c r="V74" s="41"/>
      <c r="W74" s="47"/>
      <c r="X74" s="47"/>
      <c r="Z74" s="4"/>
      <c r="AA74" s="4"/>
    </row>
    <row r="75" spans="1:27" ht="65.099999999999994" customHeight="1">
      <c r="A75" s="32" t="s">
        <v>160</v>
      </c>
      <c r="B75" s="32" t="s">
        <v>80</v>
      </c>
      <c r="C75" s="37" t="s">
        <v>295</v>
      </c>
      <c r="D75" s="32" t="s">
        <v>296</v>
      </c>
      <c r="E75" s="32" t="s">
        <v>297</v>
      </c>
      <c r="F75" s="32"/>
      <c r="G75" s="32" t="s">
        <v>24</v>
      </c>
      <c r="H75" s="38">
        <v>1</v>
      </c>
      <c r="I75" s="32">
        <v>710000000</v>
      </c>
      <c r="J75" s="32" t="s">
        <v>263</v>
      </c>
      <c r="K75" s="32" t="s">
        <v>173</v>
      </c>
      <c r="L75" s="32" t="s">
        <v>22</v>
      </c>
      <c r="M75" s="32" t="s">
        <v>23</v>
      </c>
      <c r="N75" s="38">
        <v>1</v>
      </c>
      <c r="O75" s="32" t="s">
        <v>29</v>
      </c>
      <c r="P75" s="32"/>
      <c r="Q75" s="39"/>
      <c r="R75" s="40">
        <f t="shared" si="13"/>
        <v>616071.42857142852</v>
      </c>
      <c r="S75" s="40">
        <v>690000</v>
      </c>
      <c r="T75" s="40"/>
      <c r="U75" s="32">
        <v>2020</v>
      </c>
      <c r="V75" s="41"/>
      <c r="W75" s="47"/>
      <c r="X75" s="47"/>
      <c r="Z75" s="4"/>
      <c r="AA75" s="4"/>
    </row>
    <row r="76" spans="1:27" ht="65.099999999999994" customHeight="1">
      <c r="A76" s="32" t="s">
        <v>44</v>
      </c>
      <c r="B76" s="32" t="s">
        <v>80</v>
      </c>
      <c r="C76" s="37" t="s">
        <v>236</v>
      </c>
      <c r="D76" s="32" t="s">
        <v>237</v>
      </c>
      <c r="E76" s="32" t="s">
        <v>238</v>
      </c>
      <c r="F76" s="32"/>
      <c r="G76" s="32" t="s">
        <v>24</v>
      </c>
      <c r="H76" s="38">
        <v>1</v>
      </c>
      <c r="I76" s="32">
        <v>710000000</v>
      </c>
      <c r="J76" s="32" t="s">
        <v>263</v>
      </c>
      <c r="K76" s="32" t="s">
        <v>173</v>
      </c>
      <c r="L76" s="32" t="s">
        <v>22</v>
      </c>
      <c r="M76" s="32" t="s">
        <v>23</v>
      </c>
      <c r="N76" s="38" t="s">
        <v>32</v>
      </c>
      <c r="O76" s="32" t="s">
        <v>29</v>
      </c>
      <c r="P76" s="32"/>
      <c r="Q76" s="39"/>
      <c r="R76" s="40">
        <f t="shared" si="13"/>
        <v>1499999.9999999998</v>
      </c>
      <c r="S76" s="40">
        <v>1680000</v>
      </c>
      <c r="T76" s="40"/>
      <c r="U76" s="32">
        <v>2020</v>
      </c>
      <c r="V76" s="41"/>
      <c r="W76" s="47"/>
      <c r="X76" s="47"/>
      <c r="Z76" s="4"/>
      <c r="AA76" s="4"/>
    </row>
    <row r="77" spans="1:27" ht="65.099999999999994" customHeight="1">
      <c r="A77" s="32" t="s">
        <v>135</v>
      </c>
      <c r="B77" s="32" t="s">
        <v>80</v>
      </c>
      <c r="C77" s="37" t="s">
        <v>159</v>
      </c>
      <c r="D77" s="32" t="s">
        <v>240</v>
      </c>
      <c r="E77" s="32" t="s">
        <v>239</v>
      </c>
      <c r="F77" s="32"/>
      <c r="G77" s="32" t="s">
        <v>24</v>
      </c>
      <c r="H77" s="38">
        <v>1</v>
      </c>
      <c r="I77" s="32">
        <v>710000000</v>
      </c>
      <c r="J77" s="32" t="s">
        <v>263</v>
      </c>
      <c r="K77" s="32" t="s">
        <v>173</v>
      </c>
      <c r="L77" s="32" t="s">
        <v>22</v>
      </c>
      <c r="M77" s="32" t="s">
        <v>23</v>
      </c>
      <c r="N77" s="38">
        <v>1</v>
      </c>
      <c r="O77" s="32" t="s">
        <v>29</v>
      </c>
      <c r="P77" s="32"/>
      <c r="Q77" s="39"/>
      <c r="R77" s="40">
        <f t="shared" si="13"/>
        <v>1781058.0357142854</v>
      </c>
      <c r="S77" s="40">
        <v>1994785</v>
      </c>
      <c r="T77" s="40"/>
      <c r="U77" s="32">
        <v>2020</v>
      </c>
      <c r="V77" s="41"/>
      <c r="W77" s="47"/>
      <c r="X77" s="47"/>
      <c r="Z77" s="4"/>
      <c r="AA77" s="4"/>
    </row>
    <row r="78" spans="1:27" ht="65.099999999999994" customHeight="1">
      <c r="A78" s="32" t="s">
        <v>45</v>
      </c>
      <c r="B78" s="32" t="s">
        <v>80</v>
      </c>
      <c r="C78" s="37" t="s">
        <v>189</v>
      </c>
      <c r="D78" s="32" t="s">
        <v>155</v>
      </c>
      <c r="E78" s="32" t="s">
        <v>156</v>
      </c>
      <c r="F78" s="32"/>
      <c r="G78" s="32" t="s">
        <v>24</v>
      </c>
      <c r="H78" s="38">
        <v>1</v>
      </c>
      <c r="I78" s="32">
        <v>710000000</v>
      </c>
      <c r="J78" s="32" t="s">
        <v>263</v>
      </c>
      <c r="K78" s="32" t="s">
        <v>173</v>
      </c>
      <c r="L78" s="32" t="s">
        <v>22</v>
      </c>
      <c r="M78" s="32" t="s">
        <v>23</v>
      </c>
      <c r="N78" s="38">
        <v>1</v>
      </c>
      <c r="O78" s="32" t="s">
        <v>29</v>
      </c>
      <c r="P78" s="32"/>
      <c r="Q78" s="39"/>
      <c r="R78" s="40">
        <f t="shared" si="13"/>
        <v>178571.42857142855</v>
      </c>
      <c r="S78" s="40">
        <v>200000</v>
      </c>
      <c r="T78" s="40"/>
      <c r="U78" s="32">
        <v>2020</v>
      </c>
      <c r="V78" s="41"/>
      <c r="W78" s="47"/>
      <c r="X78" s="47"/>
      <c r="Z78" s="4"/>
      <c r="AA78" s="4"/>
    </row>
    <row r="79" spans="1:27" ht="65.099999999999994" customHeight="1">
      <c r="A79" s="32" t="s">
        <v>47</v>
      </c>
      <c r="B79" s="32" t="s">
        <v>80</v>
      </c>
      <c r="C79" s="37" t="s">
        <v>188</v>
      </c>
      <c r="D79" s="32" t="s">
        <v>241</v>
      </c>
      <c r="E79" s="32" t="s">
        <v>242</v>
      </c>
      <c r="F79" s="32"/>
      <c r="G79" s="32" t="s">
        <v>24</v>
      </c>
      <c r="H79" s="38">
        <v>1</v>
      </c>
      <c r="I79" s="32">
        <v>710000000</v>
      </c>
      <c r="J79" s="32" t="s">
        <v>263</v>
      </c>
      <c r="K79" s="32" t="s">
        <v>356</v>
      </c>
      <c r="L79" s="32" t="s">
        <v>22</v>
      </c>
      <c r="M79" s="32" t="s">
        <v>23</v>
      </c>
      <c r="N79" s="38">
        <v>1</v>
      </c>
      <c r="O79" s="32" t="s">
        <v>29</v>
      </c>
      <c r="P79" s="32"/>
      <c r="Q79" s="39"/>
      <c r="R79" s="40">
        <f t="shared" si="13"/>
        <v>2342453.5714285714</v>
      </c>
      <c r="S79" s="40">
        <f>5302000-2678452</f>
        <v>2623548</v>
      </c>
      <c r="T79" s="40"/>
      <c r="U79" s="32">
        <v>2020</v>
      </c>
      <c r="V79" s="41"/>
      <c r="W79" s="47"/>
      <c r="X79" s="47"/>
      <c r="Z79" s="4"/>
      <c r="AA79" s="4"/>
    </row>
    <row r="80" spans="1:27" ht="65.099999999999994" customHeight="1">
      <c r="A80" s="32" t="s">
        <v>51</v>
      </c>
      <c r="B80" s="32" t="s">
        <v>80</v>
      </c>
      <c r="C80" s="37" t="s">
        <v>243</v>
      </c>
      <c r="D80" s="32" t="s">
        <v>150</v>
      </c>
      <c r="E80" s="32" t="s">
        <v>245</v>
      </c>
      <c r="F80" s="32"/>
      <c r="G80" s="32" t="s">
        <v>24</v>
      </c>
      <c r="H80" s="38">
        <v>1</v>
      </c>
      <c r="I80" s="32">
        <v>711210000</v>
      </c>
      <c r="J80" s="32" t="s">
        <v>263</v>
      </c>
      <c r="K80" s="32" t="s">
        <v>176</v>
      </c>
      <c r="L80" s="32" t="s">
        <v>151</v>
      </c>
      <c r="M80" s="32"/>
      <c r="N80" s="38" t="s">
        <v>140</v>
      </c>
      <c r="O80" s="32" t="s">
        <v>29</v>
      </c>
      <c r="P80" s="32"/>
      <c r="Q80" s="39"/>
      <c r="R80" s="40">
        <v>5250000</v>
      </c>
      <c r="S80" s="40"/>
      <c r="T80" s="40"/>
      <c r="U80" s="32">
        <v>2020</v>
      </c>
      <c r="V80" s="41"/>
      <c r="W80" s="47"/>
      <c r="X80" s="47"/>
      <c r="Z80" s="4"/>
      <c r="AA80" s="4"/>
    </row>
    <row r="81" spans="1:27" ht="65.099999999999994" customHeight="1">
      <c r="A81" s="32" t="s">
        <v>52</v>
      </c>
      <c r="B81" s="32" t="s">
        <v>80</v>
      </c>
      <c r="C81" s="37" t="s">
        <v>298</v>
      </c>
      <c r="D81" s="32" t="s">
        <v>299</v>
      </c>
      <c r="E81" s="32" t="s">
        <v>299</v>
      </c>
      <c r="F81" s="32"/>
      <c r="G81" s="32" t="s">
        <v>24</v>
      </c>
      <c r="H81" s="38">
        <v>1</v>
      </c>
      <c r="I81" s="32">
        <v>710000000</v>
      </c>
      <c r="J81" s="32" t="s">
        <v>263</v>
      </c>
      <c r="K81" s="32" t="s">
        <v>357</v>
      </c>
      <c r="L81" s="32" t="s">
        <v>22</v>
      </c>
      <c r="M81" s="32" t="s">
        <v>23</v>
      </c>
      <c r="N81" s="38">
        <v>1</v>
      </c>
      <c r="O81" s="32" t="s">
        <v>29</v>
      </c>
      <c r="P81" s="32"/>
      <c r="Q81" s="39"/>
      <c r="R81" s="40">
        <f>S81/1.12</f>
        <v>2232142.8571428568</v>
      </c>
      <c r="S81" s="40">
        <v>2500000</v>
      </c>
      <c r="T81" s="40"/>
      <c r="U81" s="32">
        <v>2020</v>
      </c>
      <c r="V81" s="41"/>
      <c r="W81" s="47"/>
      <c r="X81" s="47"/>
      <c r="Z81" s="4"/>
      <c r="AA81" s="4"/>
    </row>
    <row r="82" spans="1:27" ht="87" customHeight="1">
      <c r="A82" s="32" t="s">
        <v>53</v>
      </c>
      <c r="B82" s="32" t="s">
        <v>80</v>
      </c>
      <c r="C82" s="37" t="s">
        <v>186</v>
      </c>
      <c r="D82" s="32" t="s">
        <v>126</v>
      </c>
      <c r="E82" s="32" t="s">
        <v>126</v>
      </c>
      <c r="F82" s="32"/>
      <c r="G82" s="32" t="s">
        <v>24</v>
      </c>
      <c r="H82" s="38">
        <v>1</v>
      </c>
      <c r="I82" s="32">
        <v>710000000</v>
      </c>
      <c r="J82" s="32" t="s">
        <v>263</v>
      </c>
      <c r="K82" s="32" t="s">
        <v>270</v>
      </c>
      <c r="L82" s="32" t="s">
        <v>22</v>
      </c>
      <c r="M82" s="32" t="s">
        <v>23</v>
      </c>
      <c r="N82" s="38" t="s">
        <v>136</v>
      </c>
      <c r="O82" s="32"/>
      <c r="P82" s="32"/>
      <c r="Q82" s="39"/>
      <c r="R82" s="40">
        <f t="shared" ref="R82:R90" si="14">S82/1.12</f>
        <v>3513392.8571428568</v>
      </c>
      <c r="S82" s="40">
        <f>3235000+700000</f>
        <v>3935000</v>
      </c>
      <c r="T82" s="40"/>
      <c r="U82" s="32">
        <v>2020</v>
      </c>
      <c r="V82" s="41"/>
      <c r="W82" s="47"/>
      <c r="X82" s="47"/>
      <c r="Z82" s="4"/>
      <c r="AA82" s="4"/>
    </row>
    <row r="83" spans="1:27" ht="65.099999999999994" customHeight="1">
      <c r="A83" s="32" t="s">
        <v>54</v>
      </c>
      <c r="B83" s="32" t="s">
        <v>80</v>
      </c>
      <c r="C83" s="37" t="s">
        <v>185</v>
      </c>
      <c r="D83" s="32" t="s">
        <v>116</v>
      </c>
      <c r="E83" s="32" t="s">
        <v>249</v>
      </c>
      <c r="F83" s="32"/>
      <c r="G83" s="32" t="s">
        <v>24</v>
      </c>
      <c r="H83" s="38">
        <v>1</v>
      </c>
      <c r="I83" s="32">
        <v>710000000</v>
      </c>
      <c r="J83" s="32" t="s">
        <v>263</v>
      </c>
      <c r="K83" s="32" t="s">
        <v>173</v>
      </c>
      <c r="L83" s="32" t="s">
        <v>22</v>
      </c>
      <c r="M83" s="32" t="s">
        <v>23</v>
      </c>
      <c r="N83" s="38" t="s">
        <v>32</v>
      </c>
      <c r="O83" s="32" t="s">
        <v>29</v>
      </c>
      <c r="P83" s="32"/>
      <c r="Q83" s="39"/>
      <c r="R83" s="40">
        <f t="shared" si="14"/>
        <v>1071428.5714285714</v>
      </c>
      <c r="S83" s="40">
        <v>1200000</v>
      </c>
      <c r="T83" s="40"/>
      <c r="U83" s="32">
        <v>2020</v>
      </c>
      <c r="V83" s="41"/>
      <c r="W83" s="47"/>
      <c r="X83" s="47"/>
      <c r="Z83" s="4"/>
      <c r="AA83" s="4"/>
    </row>
    <row r="84" spans="1:27" ht="65.099999999999994" customHeight="1">
      <c r="A84" s="32" t="s">
        <v>55</v>
      </c>
      <c r="B84" s="32" t="s">
        <v>80</v>
      </c>
      <c r="C84" s="37" t="s">
        <v>246</v>
      </c>
      <c r="D84" s="32" t="s">
        <v>247</v>
      </c>
      <c r="E84" s="32" t="s">
        <v>250</v>
      </c>
      <c r="F84" s="32"/>
      <c r="G84" s="32" t="s">
        <v>24</v>
      </c>
      <c r="H84" s="38">
        <v>1</v>
      </c>
      <c r="I84" s="32">
        <v>710000000</v>
      </c>
      <c r="J84" s="32" t="s">
        <v>263</v>
      </c>
      <c r="K84" s="32" t="s">
        <v>173</v>
      </c>
      <c r="L84" s="32" t="s">
        <v>22</v>
      </c>
      <c r="M84" s="32" t="s">
        <v>23</v>
      </c>
      <c r="N84" s="38" t="s">
        <v>32</v>
      </c>
      <c r="O84" s="32" t="s">
        <v>29</v>
      </c>
      <c r="P84" s="32"/>
      <c r="Q84" s="39"/>
      <c r="R84" s="40">
        <f t="shared" si="14"/>
        <v>2357142.8571428568</v>
      </c>
      <c r="S84" s="40">
        <v>2640000</v>
      </c>
      <c r="T84" s="40"/>
      <c r="U84" s="32">
        <v>2020</v>
      </c>
      <c r="V84" s="41"/>
      <c r="W84" s="47"/>
      <c r="X84" s="47"/>
      <c r="Z84" s="4"/>
      <c r="AA84" s="4"/>
    </row>
    <row r="85" spans="1:27" ht="65.099999999999994" customHeight="1">
      <c r="A85" s="32" t="s">
        <v>56</v>
      </c>
      <c r="B85" s="32" t="s">
        <v>80</v>
      </c>
      <c r="C85" s="37" t="s">
        <v>184</v>
      </c>
      <c r="D85" s="32" t="s">
        <v>248</v>
      </c>
      <c r="E85" s="32" t="s">
        <v>248</v>
      </c>
      <c r="F85" s="32"/>
      <c r="G85" s="32" t="s">
        <v>24</v>
      </c>
      <c r="H85" s="38">
        <v>1</v>
      </c>
      <c r="I85" s="32">
        <v>710000000</v>
      </c>
      <c r="J85" s="32" t="s">
        <v>263</v>
      </c>
      <c r="K85" s="32" t="s">
        <v>358</v>
      </c>
      <c r="L85" s="32" t="s">
        <v>22</v>
      </c>
      <c r="M85" s="32" t="s">
        <v>23</v>
      </c>
      <c r="N85" s="38" t="s">
        <v>136</v>
      </c>
      <c r="O85" s="32" t="s">
        <v>29</v>
      </c>
      <c r="P85" s="32"/>
      <c r="Q85" s="39"/>
      <c r="R85" s="40">
        <f t="shared" si="14"/>
        <v>2232142.8571428568</v>
      </c>
      <c r="S85" s="40">
        <v>2500000</v>
      </c>
      <c r="T85" s="40"/>
      <c r="U85" s="32">
        <v>2020</v>
      </c>
      <c r="V85" s="41"/>
      <c r="W85" s="47"/>
      <c r="X85" s="47"/>
      <c r="Z85" s="4"/>
      <c r="AA85" s="4"/>
    </row>
    <row r="86" spans="1:27" ht="65.099999999999994" customHeight="1">
      <c r="A86" s="32" t="s">
        <v>57</v>
      </c>
      <c r="B86" s="32" t="s">
        <v>80</v>
      </c>
      <c r="C86" s="37" t="s">
        <v>183</v>
      </c>
      <c r="D86" s="32" t="s">
        <v>251</v>
      </c>
      <c r="E86" s="32" t="s">
        <v>251</v>
      </c>
      <c r="F86" s="32"/>
      <c r="G86" s="32" t="s">
        <v>24</v>
      </c>
      <c r="H86" s="38">
        <v>1</v>
      </c>
      <c r="I86" s="32">
        <v>710000000</v>
      </c>
      <c r="J86" s="32" t="s">
        <v>263</v>
      </c>
      <c r="K86" s="32" t="s">
        <v>177</v>
      </c>
      <c r="L86" s="32" t="s">
        <v>22</v>
      </c>
      <c r="M86" s="32" t="s">
        <v>23</v>
      </c>
      <c r="N86" s="38" t="s">
        <v>136</v>
      </c>
      <c r="O86" s="32" t="s">
        <v>29</v>
      </c>
      <c r="P86" s="32"/>
      <c r="Q86" s="39"/>
      <c r="R86" s="40">
        <f t="shared" si="14"/>
        <v>230999.99999999997</v>
      </c>
      <c r="S86" s="40">
        <v>258720</v>
      </c>
      <c r="T86" s="40"/>
      <c r="U86" s="32">
        <v>2020</v>
      </c>
      <c r="V86" s="41"/>
      <c r="W86" s="47"/>
      <c r="X86" s="47"/>
      <c r="Z86" s="4"/>
      <c r="AA86" s="4"/>
    </row>
    <row r="87" spans="1:27" ht="65.099999999999994" customHeight="1">
      <c r="A87" s="32" t="s">
        <v>58</v>
      </c>
      <c r="B87" s="32" t="s">
        <v>80</v>
      </c>
      <c r="C87" s="37" t="s">
        <v>182</v>
      </c>
      <c r="D87" s="32" t="s">
        <v>252</v>
      </c>
      <c r="E87" s="32" t="s">
        <v>253</v>
      </c>
      <c r="F87" s="32"/>
      <c r="G87" s="32" t="s">
        <v>24</v>
      </c>
      <c r="H87" s="38">
        <v>1</v>
      </c>
      <c r="I87" s="32">
        <v>710000000</v>
      </c>
      <c r="J87" s="32" t="s">
        <v>263</v>
      </c>
      <c r="K87" s="32" t="s">
        <v>358</v>
      </c>
      <c r="L87" s="32" t="s">
        <v>22</v>
      </c>
      <c r="M87" s="32" t="s">
        <v>23</v>
      </c>
      <c r="N87" s="38" t="s">
        <v>25</v>
      </c>
      <c r="O87" s="32" t="s">
        <v>29</v>
      </c>
      <c r="P87" s="32"/>
      <c r="Q87" s="39"/>
      <c r="R87" s="40">
        <f t="shared" si="14"/>
        <v>192857.14285714284</v>
      </c>
      <c r="S87" s="40">
        <v>216000</v>
      </c>
      <c r="T87" s="40"/>
      <c r="U87" s="32">
        <v>2020</v>
      </c>
      <c r="V87" s="41"/>
      <c r="W87" s="47"/>
      <c r="X87" s="47"/>
      <c r="Z87" s="4"/>
      <c r="AA87" s="4"/>
    </row>
    <row r="88" spans="1:27" ht="152.25" customHeight="1">
      <c r="A88" s="32" t="s">
        <v>137</v>
      </c>
      <c r="B88" s="32" t="s">
        <v>80</v>
      </c>
      <c r="C88" s="37" t="s">
        <v>181</v>
      </c>
      <c r="D88" s="32" t="s">
        <v>254</v>
      </c>
      <c r="E88" s="32" t="s">
        <v>255</v>
      </c>
      <c r="F88" s="32"/>
      <c r="G88" s="32" t="s">
        <v>24</v>
      </c>
      <c r="H88" s="38">
        <v>1</v>
      </c>
      <c r="I88" s="32">
        <v>710000000</v>
      </c>
      <c r="J88" s="32" t="s">
        <v>263</v>
      </c>
      <c r="K88" s="32" t="str">
        <f>K89</f>
        <v>сентябрь-октябрь</v>
      </c>
      <c r="L88" s="32" t="s">
        <v>22</v>
      </c>
      <c r="M88" s="32" t="s">
        <v>23</v>
      </c>
      <c r="N88" s="38" t="str">
        <f>N89</f>
        <v>аванс 30%, по факту 70%</v>
      </c>
      <c r="O88" s="32" t="s">
        <v>29</v>
      </c>
      <c r="P88" s="32"/>
      <c r="Q88" s="39"/>
      <c r="R88" s="40">
        <f>S88/1.12</f>
        <v>4285714.2857142854</v>
      </c>
      <c r="S88" s="40">
        <f>4800000</f>
        <v>4800000</v>
      </c>
      <c r="T88" s="40"/>
      <c r="U88" s="32">
        <v>2020</v>
      </c>
      <c r="V88" s="41"/>
      <c r="W88" s="47"/>
      <c r="X88" s="47"/>
      <c r="Z88" s="4"/>
      <c r="AA88" s="4"/>
    </row>
    <row r="89" spans="1:27" ht="65.099999999999994" customHeight="1">
      <c r="A89" s="32" t="s">
        <v>138</v>
      </c>
      <c r="B89" s="32" t="s">
        <v>80</v>
      </c>
      <c r="C89" s="37" t="s">
        <v>180</v>
      </c>
      <c r="D89" s="32" t="s">
        <v>256</v>
      </c>
      <c r="E89" s="32" t="s">
        <v>257</v>
      </c>
      <c r="F89" s="32"/>
      <c r="G89" s="32" t="s">
        <v>24</v>
      </c>
      <c r="H89" s="38">
        <v>1</v>
      </c>
      <c r="I89" s="32">
        <v>710000000</v>
      </c>
      <c r="J89" s="32" t="s">
        <v>263</v>
      </c>
      <c r="K89" s="32" t="str">
        <f>K79</f>
        <v>сентябрь-октябрь</v>
      </c>
      <c r="L89" s="32" t="s">
        <v>22</v>
      </c>
      <c r="M89" s="32" t="s">
        <v>23</v>
      </c>
      <c r="N89" s="38" t="s">
        <v>136</v>
      </c>
      <c r="O89" s="32" t="s">
        <v>29</v>
      </c>
      <c r="P89" s="32"/>
      <c r="Q89" s="39"/>
      <c r="R89" s="40">
        <f t="shared" si="14"/>
        <v>4285714.2857142854</v>
      </c>
      <c r="S89" s="40">
        <v>4800000</v>
      </c>
      <c r="T89" s="40"/>
      <c r="U89" s="32">
        <v>2020</v>
      </c>
      <c r="V89" s="41"/>
      <c r="W89" s="47"/>
      <c r="X89" s="47"/>
      <c r="Z89" s="4"/>
      <c r="AA89" s="4"/>
    </row>
    <row r="90" spans="1:27" ht="65.099999999999994" customHeight="1">
      <c r="A90" s="32" t="s">
        <v>139</v>
      </c>
      <c r="B90" s="32" t="s">
        <v>80</v>
      </c>
      <c r="C90" s="37" t="s">
        <v>178</v>
      </c>
      <c r="D90" s="32" t="s">
        <v>258</v>
      </c>
      <c r="E90" s="32" t="s">
        <v>259</v>
      </c>
      <c r="F90" s="32"/>
      <c r="G90" s="32" t="s">
        <v>24</v>
      </c>
      <c r="H90" s="38">
        <v>1</v>
      </c>
      <c r="I90" s="32">
        <v>710000000</v>
      </c>
      <c r="J90" s="32" t="s">
        <v>263</v>
      </c>
      <c r="K90" s="32" t="s">
        <v>175</v>
      </c>
      <c r="L90" s="32" t="s">
        <v>22</v>
      </c>
      <c r="M90" s="32" t="s">
        <v>23</v>
      </c>
      <c r="N90" s="38" t="s">
        <v>25</v>
      </c>
      <c r="O90" s="32" t="s">
        <v>29</v>
      </c>
      <c r="P90" s="32"/>
      <c r="Q90" s="39"/>
      <c r="R90" s="40">
        <f t="shared" si="14"/>
        <v>3124999.9999999995</v>
      </c>
      <c r="S90" s="40">
        <v>3500000</v>
      </c>
      <c r="T90" s="40"/>
      <c r="U90" s="32">
        <v>2020</v>
      </c>
      <c r="V90" s="41"/>
      <c r="W90" s="47"/>
      <c r="X90" s="47"/>
      <c r="Z90" s="4"/>
      <c r="AA90" s="4"/>
    </row>
    <row r="91" spans="1:27" ht="65.099999999999994" customHeight="1">
      <c r="A91" s="32" t="s">
        <v>264</v>
      </c>
      <c r="B91" s="32" t="s">
        <v>80</v>
      </c>
      <c r="C91" s="37" t="s">
        <v>300</v>
      </c>
      <c r="D91" s="32" t="s">
        <v>301</v>
      </c>
      <c r="E91" s="32" t="s">
        <v>301</v>
      </c>
      <c r="F91" s="32"/>
      <c r="G91" s="32" t="s">
        <v>24</v>
      </c>
      <c r="H91" s="38">
        <v>1</v>
      </c>
      <c r="I91" s="32">
        <v>710000000</v>
      </c>
      <c r="J91" s="32" t="s">
        <v>263</v>
      </c>
      <c r="K91" s="32" t="s">
        <v>177</v>
      </c>
      <c r="L91" s="32" t="s">
        <v>22</v>
      </c>
      <c r="M91" s="32" t="s">
        <v>23</v>
      </c>
      <c r="N91" s="38" t="s">
        <v>136</v>
      </c>
      <c r="O91" s="32" t="s">
        <v>29</v>
      </c>
      <c r="P91" s="32"/>
      <c r="Q91" s="39"/>
      <c r="R91" s="40">
        <f>S91/1.12</f>
        <v>3712499.9999999995</v>
      </c>
      <c r="S91" s="40">
        <v>4158000</v>
      </c>
      <c r="T91" s="40"/>
      <c r="U91" s="32">
        <v>2020</v>
      </c>
      <c r="V91" s="41"/>
      <c r="W91" s="47"/>
      <c r="X91" s="47"/>
      <c r="Z91" s="4"/>
      <c r="AA91" s="4"/>
    </row>
    <row r="92" spans="1:27" ht="65.099999999999994" customHeight="1">
      <c r="A92" s="32" t="s">
        <v>352</v>
      </c>
      <c r="B92" s="32" t="s">
        <v>80</v>
      </c>
      <c r="C92" s="37" t="s">
        <v>302</v>
      </c>
      <c r="D92" s="32" t="s">
        <v>303</v>
      </c>
      <c r="E92" s="32" t="s">
        <v>303</v>
      </c>
      <c r="F92" s="32"/>
      <c r="G92" s="32" t="s">
        <v>24</v>
      </c>
      <c r="H92" s="38">
        <v>1</v>
      </c>
      <c r="I92" s="32">
        <v>710000000</v>
      </c>
      <c r="J92" s="32" t="s">
        <v>263</v>
      </c>
      <c r="K92" s="32" t="s">
        <v>177</v>
      </c>
      <c r="L92" s="32" t="s">
        <v>22</v>
      </c>
      <c r="M92" s="32" t="s">
        <v>23</v>
      </c>
      <c r="N92" s="38" t="s">
        <v>136</v>
      </c>
      <c r="O92" s="32" t="s">
        <v>29</v>
      </c>
      <c r="P92" s="32"/>
      <c r="Q92" s="39"/>
      <c r="R92" s="40">
        <f>S92/1.12</f>
        <v>1999999.9999999998</v>
      </c>
      <c r="S92" s="40">
        <v>2240000</v>
      </c>
      <c r="T92" s="40"/>
      <c r="U92" s="32">
        <v>2020</v>
      </c>
      <c r="V92" s="41"/>
      <c r="W92" s="47"/>
      <c r="X92" s="47"/>
      <c r="Z92" s="4"/>
      <c r="AA92" s="4"/>
    </row>
    <row r="93" spans="1:27" s="5" customFormat="1" ht="30" customHeight="1">
      <c r="A93" s="50" t="s">
        <v>39</v>
      </c>
      <c r="B93" s="50"/>
      <c r="C93" s="50"/>
      <c r="D93" s="50"/>
      <c r="E93" s="50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43">
        <f>SUM(R63:R92)</f>
        <v>106438047.32142852</v>
      </c>
      <c r="S93" s="43">
        <f>SUM(S63:S92)</f>
        <v>113120053</v>
      </c>
      <c r="T93" s="32"/>
      <c r="U93" s="32"/>
      <c r="V93" s="44"/>
      <c r="W93" s="47"/>
      <c r="X93" s="47"/>
      <c r="Y93" s="29"/>
    </row>
    <row r="94" spans="1:27" s="5" customFormat="1" ht="30" customHeight="1">
      <c r="A94" s="50" t="s">
        <v>40</v>
      </c>
      <c r="B94" s="50"/>
      <c r="C94" s="50"/>
      <c r="D94" s="50"/>
      <c r="E94" s="50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 t="s">
        <v>27</v>
      </c>
      <c r="Q94" s="32"/>
      <c r="R94" s="43">
        <f>SUM(R61+R93)</f>
        <v>113113070.74999996</v>
      </c>
      <c r="S94" s="43">
        <f>S61+S93</f>
        <v>120274665</v>
      </c>
      <c r="T94" s="32"/>
      <c r="U94" s="32"/>
      <c r="V94" s="44"/>
      <c r="W94" s="47"/>
      <c r="X94" s="47"/>
      <c r="Y94" s="29"/>
    </row>
    <row r="95" spans="1:27" ht="14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 t="s">
        <v>46</v>
      </c>
      <c r="S95" s="45" t="s">
        <v>275</v>
      </c>
      <c r="T95" s="45"/>
      <c r="U95" s="45"/>
      <c r="V95" s="45"/>
      <c r="W95" s="47"/>
      <c r="X95" s="47"/>
      <c r="Y95" s="9"/>
      <c r="Z95" s="4"/>
      <c r="AA95" s="4"/>
    </row>
    <row r="96" spans="1:27" ht="13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"/>
      <c r="O96" s="3"/>
      <c r="P96" s="3"/>
      <c r="Q96" s="3"/>
      <c r="R96" s="3"/>
      <c r="S96" s="3"/>
      <c r="T96" s="3"/>
      <c r="U96" s="2"/>
      <c r="V96" s="2"/>
      <c r="W96" s="47"/>
      <c r="X96" s="47"/>
      <c r="Y96" s="9"/>
      <c r="Z96" s="4"/>
      <c r="AA96" s="4"/>
    </row>
    <row r="97" spans="1:27" ht="13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"/>
      <c r="O97" s="3"/>
      <c r="P97" s="3"/>
      <c r="Q97" s="3"/>
      <c r="R97" s="3"/>
      <c r="S97" s="3"/>
      <c r="T97" s="3"/>
      <c r="U97" s="3"/>
      <c r="V97" s="11"/>
      <c r="W97" s="47"/>
      <c r="X97" s="47"/>
      <c r="Y97" s="9"/>
      <c r="Z97" s="4"/>
      <c r="AA97" s="4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"/>
      <c r="O98" s="3"/>
      <c r="P98" s="3"/>
      <c r="Q98" s="3"/>
      <c r="R98" s="3"/>
      <c r="S98" s="3"/>
      <c r="T98" s="3"/>
      <c r="U98" s="3"/>
      <c r="V98" s="3"/>
      <c r="W98" s="47"/>
      <c r="X98" s="47"/>
      <c r="Y98" s="48"/>
      <c r="Z98" s="4"/>
      <c r="AA98" s="4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"/>
      <c r="O99" s="3"/>
      <c r="P99" s="3"/>
      <c r="Q99" s="3"/>
      <c r="R99" s="3"/>
      <c r="S99" s="3"/>
      <c r="T99" s="3"/>
      <c r="U99" s="3"/>
      <c r="V99" s="3"/>
      <c r="W99" s="47"/>
      <c r="X99" s="47"/>
      <c r="Y99" s="48"/>
      <c r="Z99" s="4"/>
      <c r="AA99" s="4"/>
    </row>
    <row r="100" spans="1:27" ht="13.5">
      <c r="A100" s="1"/>
      <c r="B100" s="1"/>
      <c r="C100" s="1"/>
      <c r="D100" s="26"/>
      <c r="E100" s="27"/>
      <c r="F100" s="1"/>
      <c r="G100" s="1"/>
      <c r="H100" s="1"/>
      <c r="I100" s="1"/>
      <c r="J100" s="1"/>
      <c r="K100" s="1"/>
      <c r="L100" s="1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47"/>
      <c r="X100" s="47"/>
      <c r="Y100" s="9"/>
      <c r="Z100" s="4"/>
      <c r="AA100" s="4"/>
    </row>
    <row r="101" spans="1:27" ht="13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3"/>
      <c r="S101" s="3"/>
      <c r="T101" s="3"/>
      <c r="U101" s="3"/>
      <c r="V101" s="3"/>
      <c r="W101" s="3"/>
      <c r="X101" s="1"/>
      <c r="Y101" s="1"/>
      <c r="Z101" s="9"/>
      <c r="AA101" s="4"/>
    </row>
    <row r="102" spans="1:27" ht="13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1"/>
      <c r="X102" s="1"/>
      <c r="Y102" s="9"/>
      <c r="Z102" s="4"/>
      <c r="AA102" s="4"/>
    </row>
    <row r="103" spans="1:27" ht="13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1"/>
      <c r="X103" s="1"/>
      <c r="Y103" s="9"/>
      <c r="Z103" s="4"/>
      <c r="AA103" s="4"/>
    </row>
    <row r="104" spans="1:27" ht="13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1"/>
      <c r="X104" s="1"/>
      <c r="Y104" s="9"/>
      <c r="Z104" s="4"/>
      <c r="AA104" s="4"/>
    </row>
    <row r="105" spans="1:27" ht="13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1"/>
      <c r="X105" s="1"/>
      <c r="Y105" s="9"/>
      <c r="Z105" s="4"/>
      <c r="AA105" s="4"/>
    </row>
    <row r="106" spans="1:27" ht="13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1"/>
      <c r="X106" s="1"/>
      <c r="Y106" s="9"/>
      <c r="Z106" s="4"/>
      <c r="AA106" s="4"/>
    </row>
    <row r="107" spans="1:27" ht="13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1"/>
      <c r="X107" s="1"/>
      <c r="Y107" s="9"/>
      <c r="Z107" s="4"/>
      <c r="AA107" s="4"/>
    </row>
    <row r="108" spans="1:27" ht="13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1"/>
      <c r="X108" s="1"/>
      <c r="Y108" s="9"/>
      <c r="Z108" s="4"/>
      <c r="AA108" s="4"/>
    </row>
    <row r="109" spans="1:27" ht="13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1"/>
      <c r="X109" s="1"/>
      <c r="Y109" s="9"/>
      <c r="Z109" s="4"/>
      <c r="AA109" s="4"/>
    </row>
    <row r="110" spans="1:27" ht="13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1"/>
      <c r="X110" s="1"/>
      <c r="Y110" s="9"/>
      <c r="Z110" s="4"/>
      <c r="AA110" s="4"/>
    </row>
    <row r="111" spans="1:27" ht="13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1"/>
      <c r="X111" s="1"/>
      <c r="Y111" s="9"/>
      <c r="Z111" s="4"/>
      <c r="AA111" s="4"/>
    </row>
    <row r="112" spans="1:27" ht="13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1"/>
      <c r="X112" s="1"/>
      <c r="Y112" s="9"/>
      <c r="Z112" s="4"/>
      <c r="AA112" s="4"/>
    </row>
    <row r="113" spans="5:5">
      <c r="E113" s="1"/>
    </row>
  </sheetData>
  <autoFilter ref="A7:V7" xr:uid="{00000000-0009-0000-0000-000000000000}"/>
  <mergeCells count="11">
    <mergeCell ref="W9:X100"/>
    <mergeCell ref="Y98:Y99"/>
    <mergeCell ref="H4:T4"/>
    <mergeCell ref="A61:E61"/>
    <mergeCell ref="A62:V62"/>
    <mergeCell ref="W1:X8"/>
    <mergeCell ref="J1:V1"/>
    <mergeCell ref="A8:V8"/>
    <mergeCell ref="A93:E93"/>
    <mergeCell ref="A94:E94"/>
    <mergeCell ref="N2:V2"/>
  </mergeCells>
  <hyperlinks>
    <hyperlink ref="C71" r:id="rId1" display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 xr:uid="{00000000-0004-0000-0000-000000000000}"/>
    <hyperlink ref="C78" r:id="rId2" display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 xr:uid="{00000000-0004-0000-0000-000001000000}"/>
    <hyperlink ref="C50" r:id="rId3" display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 xr:uid="{00000000-0004-0000-0000-000002000000}"/>
    <hyperlink ref="C77" r:id="rId4" display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xr:uid="{00000000-0004-0000-0000-000003000000}"/>
    <hyperlink ref="C51" r:id="rId5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xr:uid="{00000000-0004-0000-0000-000004000000}"/>
    <hyperlink ref="C74" r:id="rId6" display="https://enstru.kz/code_new.jsp?&amp;t=%D1%81%D0%B5%D1%80%D0%B2%D0%B5%D1%80&amp;s=common&amp;p=10&amp;n=0&amp;S=620230%2E000&amp;N=%D0%A3%D1%81%D0%BB%D1%83%D0%B3%D0%B8%20%D0%BF%D0%BE%20%D1%82%D0%B5%D1%85%D0%BD%D0%B8%D1%87%D0%B5%D1%81%D0%BA%D0%BE%D0%BC%D1%83%20%D0%BE%D0%B1%D1%81%D0%BB%D1%83%D0%B6%D0%B8%D0%B2%D0%B0%D0%BD%D0%B8%D1%8E%20%D1%81%D0%B5%D1%80%D0%B2%D0%B5%D1%80%D0%BD%D0%BE%D0%B3%D0%BE%20%D0%BE%D0%B1%D0%BE%D1%80%D1%83%D0%B4%D0%BE%D0%B2%D0%B0%D0%BD%D0%B8%D1%8F&amp;fn=on&amp;fc=1&amp;fg=0&amp;new=620230.000.000002" xr:uid="{00000000-0004-0000-0000-000005000000}"/>
    <hyperlink ref="C53" r:id="rId7" display="https://enstru.kz/code_new.jsp?&amp;t=%D0%BA%D0%BE%D1%80%D0%BE%D0%B1%20%D0%B4%D0%BB%D1%8F%20%D1%85%D1%80%D0%B0%D0%BD%D0%B5%D0%BD%D0%B8%D1%8F%20%D0%B4%D0%BE%D0%BA%D1%83%D0%BC%D0%B5%D0%BD%D1%82%D0%BE%D0%B2%20%D0%BA%D0%B0%D1%80%D1%82%D0%BE%D0%BD%D0%BD%D1%8B%D0%B9&amp;s=common&amp;p=10&amp;n=0&amp;S=172313%2E900&amp;N=%D0%9A%D0%BE%D1%80%D0%BE%D0%B1&amp;fc=1&amp;fg=1&amp;new=172313.900.000000" xr:uid="{00000000-0004-0000-0000-000006000000}"/>
    <hyperlink ref="C86" r:id="rId8" display="https://enstru.kz/code.jsp?&amp;t=%D0%B4%D0%B8%D0%B7%D0%B0%D0%B9%D0%BD%D0%B5%D1%80&amp;s=common&amp;st=goods&amp;p=10&amp;n=0&amp;S=62%2E09%2E20%2E000&amp;N=%D0%A3%D1%81%D0%BB%D1%83%D0%B3%D0%B8%20%D0%B3%D1%80%D0%B0%D1%84%D0%B8%D1%87%D0%B5%D1%81%D0%BA%D0%B8%D1%85%20%D0%B4%D0%B8%D0%B7%D0%B0%D0%B9%D0%BD%D0%B5%D1%80%D0%BE%D0%B2&amp;fc=1&amp;fg=0&amp;new=62.09.20.000.014.00.0777.000000000000" xr:uid="{00000000-0004-0000-0000-000007000000}"/>
    <hyperlink ref="C57" r:id="rId9" display="https://enstru.kz/code_new.jsp?&amp;t=%D0%A3%D0%BD%D0%B8%D1%87%D1%82%D0%BE%D0%B6%D0%B8%D1%82%D0%B5%D0%BB%D1%8C%20%D0%B1%D1%83%D0%BC%D0%B0%D0%B3%D0%B8%20%D0%B8%20%D0%B4%D0%B8%D1%81%D0%BA%D0%BE%D0%B2%20%D1%81%D1%82%D0%B5%D0%BF%D0%B5%D0%BD%D1%8C%20%D1%81%D0%B5%D0%BA%D1%80%D0%B5%D1%82%D0%BD%D0%BE%D1%81%D1%82%D0%B8%201&amp;s=common&amp;p=10&amp;n=0&amp;S=262030%2E100&amp;N=%D0%A3%D0%BD%D0%B8%D1%87%D1%82%D0%BE%D0%B6%D0%B8%D1%82%D0%B5%D0%BB%D1%8C%20%D0%B1%D1%83%D0%BC%D0%B0%D0%B3%D0%B8%20%D0%B8%20%D0%B4%D0%B8%D1%81%D0%BA%D0%BE%D0%B2&amp;fc=1&amp;fg=1&amp;new=262030.100.000025" xr:uid="{00000000-0004-0000-0000-000008000000}"/>
    <hyperlink ref="C24" r:id="rId10" display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xr:uid="{00000000-0004-0000-0000-000009000000}"/>
    <hyperlink ref="C23" r:id="rId11" display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xr:uid="{00000000-0004-0000-0000-00000A000000}"/>
    <hyperlink ref="C73" r:id="rId12" display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 xr:uid="{00000000-0004-0000-0000-00000B000000}"/>
    <hyperlink ref="C75" r:id="rId13" display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xr:uid="{00000000-0004-0000-0000-00000C000000}"/>
    <hyperlink ref="C81" r:id="rId14" display="https://enstru.kz/code_new.jsp?&amp;t=%D0%B0%D1%80%D1%85%D0%B8%D0%B2&amp;s=common&amp;p=10&amp;n=0&amp;S=910112%2E000&amp;N=%D0%A3%D1%81%D0%BB%D1%83%D0%B3%D0%B8%20%D0%BF%D0%BE%20%D0%B2%D0%B5%D0%B4%D0%B5%D0%BD%D0%B8%D1%8E%20%D0%B0%D1%80%D1%85%D0%B8%D0%B2%D0%BD%D1%8B%D1%85%20%D0%B4%D0%BE%D0%BA%D1%83%D0%BC%D0%B5%D0%BD%D1%82%D0%BE%D0%B2&amp;fc=1&amp;fg=0&amp;new=910112.000.000000" xr:uid="{00000000-0004-0000-0000-00000D000000}"/>
    <hyperlink ref="C91" r:id="rId15" display="https://enstru.kz/code_new.jsp?&amp;t=%D0%A3%D1%81%D0%BB%D1%83%D0%B3%D0%B8%20%D0%BF%D0%BE%20%D0%BF%D1%80%D0%BE%D0%B2%D0%B5%D0%B4%D0%B5%D0%BD%D0%B8%D1%8E%20%D0%BC%D0%B0%D1%80%D0%BA%D0%B5%D1%82%D0%B8%D0%BD%D0%B3%D0%BE%D0%B2%D1%8B%D1%85%20%D0%BA%D0%B0%D0%BC%D0%BF%D0%B0%D0%BD%D0%B8%D0%B9%20%D0%A3%D1%81%D0%BB%D1%83%D0%B3%D0%B8%20%D0%BF%D0%BE%20%D0%BF%D1%80%D0%BE%D0%B2%D0%B5%D0%B4%D0%B5%D0%BD%D0%B8%D1%8E%20%D0%BC%D0%B0%D1%80%D0%BA%D0%B5%D1%82%D0%B8%D0%BD%D0%B3%D0%BE%D0%B2%D1%8B%D1%85%20%D0%B8%20%D0%B0%D0%BD%D0%B0%D0%BB%D0%BE%D0%B3%D0%B8%D1%87%D0%BD%D1%8B%D1%85%20%D0%BA%D0%B0%D0%BC%D0%BF%D0%B0%D0%BD%D0%B8%D0%B9%20%D0%A3%D1%81%D0%BB%D1%83%D0%B3%D0%B8%20%D0%B2%20%D0%BE%D0%B1%D0%BB%D0%B0%D1%81%D1%82%D0%B8%20%D1%80%D0%B5%D0%BA%D0%BB%D0%B0%D0%BC%D1%8B&amp;s=common&amp;p=10&amp;n=0&amp;S=731119%2E900&amp;N=%D0%A3%D1%81%D0%BB%D1%83%D0%B3%D0%B8%20%D0%BF%D0%BE%20%D0%BF%D1%80%D0%BE%D0%B2%D0%B5%D0%B4%D0%B5%D0%BD%D0%B8%D1%8E%20%D0%BC%D0%B0%D1%80%D0%BA%D0%B5%D1%82%D0%B8%D0%BD%D0%B3%D0%BE%D0%B2%D1%8B%D1%85%20%D0%BA%D0%B0%D0%BC%D0%BF%D0%B0%D0%BD%D0%B8%D0%B9&amp;fc=1&amp;fg=0&amp;new=731119.900.000004" xr:uid="{00000000-0004-0000-0000-00000E000000}"/>
    <hyperlink ref="C92" r:id="rId16" display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xr:uid="{00000000-0004-0000-0000-00000F000000}"/>
    <hyperlink ref="C52" r:id="rId17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xr:uid="{00000000-0004-0000-0000-000010000000}"/>
    <hyperlink ref="C59" r:id="rId18" display="https://enstru.kz/code_new.jsp?&amp;t=%D1%81%D0%B2%D1%8F%D0%B7%D1%8C&amp;s=common&amp;p=10&amp;n=0&amp;S=263030%2E900&amp;N=%D0%9E%D0%B1%D0%BE%D1%80%D1%83%D0%B4%D0%BE%D0%B2%D0%B0%D0%BD%D0%B8%D0%B5%20%D1%81%D0%B8%D1%81%D1%82%D0%B5%D0%BC%D0%B0%20%D1%82%D0%B5%D0%BB%D0%B5%D0%BA%D0%BE%D0%BC%D0%BC%D1%83%D0%BD%D0%B8%D0%BA%D0%B0%D1%86%D0%B8%D0%B9&amp;fc=1&amp;fg=1&amp;new=263030.900.000165" xr:uid="{00000000-0004-0000-0000-000011000000}"/>
    <hyperlink ref="C69" r:id="rId19" display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xr:uid="{00000000-0004-0000-0000-000012000000}"/>
  </hyperlinks>
  <pageMargins left="0.7" right="0.7" top="0.75" bottom="0.75" header="0.3" footer="0.3"/>
  <pageSetup paperSize="9" scale="34" fitToWidth="5" fitToHeight="5" orientation="landscape" r:id="rId2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1"/>
  <sheetViews>
    <sheetView showGridLines="0" workbookViewId="0">
      <selection activeCell="B13" sqref="B13"/>
    </sheetView>
  </sheetViews>
  <sheetFormatPr defaultRowHeight="12.75"/>
  <cols>
    <col min="1" max="1" width="1.078125" customWidth="1"/>
    <col min="2" max="2" width="64.45703125" customWidth="1"/>
    <col min="3" max="3" width="1.6171875" customWidth="1"/>
    <col min="4" max="4" width="5.52734375" customWidth="1"/>
    <col min="5" max="6" width="16.046875" customWidth="1"/>
  </cols>
  <sheetData>
    <row r="1" spans="2:6" ht="24">
      <c r="B1" s="12" t="s">
        <v>141</v>
      </c>
      <c r="C1" s="12"/>
      <c r="D1" s="18"/>
      <c r="E1" s="18"/>
      <c r="F1" s="18"/>
    </row>
    <row r="2" spans="2:6">
      <c r="B2" s="12" t="s">
        <v>142</v>
      </c>
      <c r="C2" s="12"/>
      <c r="D2" s="18"/>
      <c r="E2" s="18"/>
      <c r="F2" s="18"/>
    </row>
    <row r="3" spans="2:6">
      <c r="B3" s="13"/>
      <c r="C3" s="13"/>
      <c r="D3" s="19"/>
      <c r="E3" s="19"/>
      <c r="F3" s="19"/>
    </row>
    <row r="4" spans="2:6" ht="46.5">
      <c r="B4" s="13" t="s">
        <v>143</v>
      </c>
      <c r="C4" s="13"/>
      <c r="D4" s="19"/>
      <c r="E4" s="19"/>
      <c r="F4" s="19"/>
    </row>
    <row r="5" spans="2:6">
      <c r="B5" s="13"/>
      <c r="C5" s="13"/>
      <c r="D5" s="19"/>
      <c r="E5" s="19"/>
      <c r="F5" s="19"/>
    </row>
    <row r="6" spans="2:6" ht="24">
      <c r="B6" s="12" t="s">
        <v>144</v>
      </c>
      <c r="C6" s="12"/>
      <c r="D6" s="18"/>
      <c r="E6" s="18" t="s">
        <v>145</v>
      </c>
      <c r="F6" s="18" t="s">
        <v>146</v>
      </c>
    </row>
    <row r="7" spans="2:6" ht="13.5" thickBot="1">
      <c r="B7" s="13"/>
      <c r="C7" s="13"/>
      <c r="D7" s="19"/>
      <c r="E7" s="19"/>
      <c r="F7" s="19"/>
    </row>
    <row r="8" spans="2:6" ht="35.25">
      <c r="B8" s="14" t="s">
        <v>147</v>
      </c>
      <c r="C8" s="15"/>
      <c r="D8" s="20"/>
      <c r="E8" s="20">
        <v>1</v>
      </c>
      <c r="F8" s="21"/>
    </row>
    <row r="9" spans="2:6" ht="36" thickBot="1">
      <c r="B9" s="16"/>
      <c r="C9" s="17"/>
      <c r="D9" s="22"/>
      <c r="E9" s="23" t="s">
        <v>148</v>
      </c>
      <c r="F9" s="24" t="s">
        <v>149</v>
      </c>
    </row>
    <row r="10" spans="2:6">
      <c r="B10" s="13"/>
      <c r="C10" s="13"/>
      <c r="D10" s="19"/>
      <c r="E10" s="19"/>
      <c r="F10" s="19"/>
    </row>
    <row r="11" spans="2:6">
      <c r="B11" s="13"/>
      <c r="C11" s="13"/>
      <c r="D11" s="19"/>
      <c r="E11" s="19"/>
      <c r="F11" s="19"/>
    </row>
  </sheetData>
  <hyperlinks>
    <hyperlink ref="E9" location="'План закупок КФ &quot;СК-Астана&quot;кор'!D84" display="'План закупок КФ &quot;СК-Астана&quot;кор'!D84" xr:uid="{00000000-0004-0000-01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закупок КФ "СК-Астана"кор</vt:lpstr>
      <vt:lpstr>Отчет о совместимости</vt:lpstr>
      <vt:lpstr>План закупок КФ "СК-Астана"кор!Область_печати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Нур Дарипбаев</cp:lastModifiedBy>
  <cp:lastPrinted>2020-06-10T11:38:51Z</cp:lastPrinted>
  <dcterms:created xsi:type="dcterms:W3CDTF">1996-10-08T23:32:33Z</dcterms:created>
  <dcterms:modified xsi:type="dcterms:W3CDTF">2020-06-15T11:48:08Z</dcterms:modified>
</cp:coreProperties>
</file>