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\Desktop\23.04.2021 ноутбук\250121\Рабочий стол\С рабочего стола\Бюджет 2021\Бюджет 2021 ПС 23.12.20\Корректировка бюджет июнь\"/>
    </mc:Choice>
  </mc:AlternateContent>
  <bookViews>
    <workbookView xWindow="-120" yWindow="-120" windowWidth="29040" windowHeight="15840"/>
  </bookViews>
  <sheets>
    <sheet name="План закупок КФ &quot;СК-Астана&quot;кор" sheetId="5" r:id="rId1"/>
    <sheet name="Отчет о совместимости" sheetId="6" r:id="rId2"/>
  </sheets>
  <definedNames>
    <definedName name="_xlnm._FilterDatabase" localSheetId="0" hidden="1">'План закупок КФ "СК-Астана"кор'!$B$8:$W$8</definedName>
    <definedName name="_xlnm.Print_Area" localSheetId="0">'План закупок КФ "СК-Астана"кор'!$B$1:$W$85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3" i="5" l="1"/>
  <c r="S53" i="5"/>
  <c r="S52" i="5"/>
  <c r="O52" i="5" l="1"/>
  <c r="T84" i="5"/>
  <c r="S83" i="5"/>
  <c r="S82" i="5"/>
  <c r="J52" i="5"/>
  <c r="S80" i="5"/>
  <c r="S79" i="5"/>
  <c r="T73" i="5"/>
  <c r="S78" i="5"/>
  <c r="S77" i="5"/>
  <c r="S76" i="5"/>
  <c r="S75" i="5"/>
  <c r="S74" i="5"/>
  <c r="S72" i="5"/>
  <c r="S71" i="5"/>
  <c r="S70" i="5"/>
  <c r="S68" i="5"/>
  <c r="S67" i="5"/>
  <c r="S66" i="5"/>
  <c r="S65" i="5"/>
  <c r="S64" i="5"/>
  <c r="S63" i="5"/>
  <c r="S62" i="5"/>
  <c r="S61" i="5"/>
  <c r="S59" i="5"/>
  <c r="S58" i="5"/>
  <c r="S57" i="5"/>
  <c r="S56" i="5"/>
  <c r="S55" i="5"/>
  <c r="R51" i="5"/>
  <c r="S51" i="5" s="1"/>
  <c r="J51" i="5"/>
  <c r="R50" i="5"/>
  <c r="S50" i="5" s="1"/>
  <c r="T50" i="5" s="1"/>
  <c r="J50" i="5"/>
  <c r="R49" i="5"/>
  <c r="S49" i="5" s="1"/>
  <c r="T49" i="5" s="1"/>
  <c r="J49" i="5"/>
  <c r="R48" i="5"/>
  <c r="S48" i="5" s="1"/>
  <c r="T48" i="5" s="1"/>
  <c r="J48" i="5"/>
  <c r="R47" i="5"/>
  <c r="S47" i="5" s="1"/>
  <c r="T47" i="5" s="1"/>
  <c r="J47" i="5"/>
  <c r="R46" i="5"/>
  <c r="S46" i="5" s="1"/>
  <c r="T46" i="5" s="1"/>
  <c r="J46" i="5"/>
  <c r="R45" i="5"/>
  <c r="S45" i="5" s="1"/>
  <c r="T45" i="5" s="1"/>
  <c r="J45" i="5"/>
  <c r="R44" i="5"/>
  <c r="S44" i="5" s="1"/>
  <c r="T44" i="5" s="1"/>
  <c r="J44" i="5"/>
  <c r="R43" i="5"/>
  <c r="S43" i="5" s="1"/>
  <c r="T43" i="5" s="1"/>
  <c r="J43" i="5"/>
  <c r="R42" i="5"/>
  <c r="S42" i="5" s="1"/>
  <c r="T42" i="5" s="1"/>
  <c r="J42" i="5"/>
  <c r="R41" i="5"/>
  <c r="S41" i="5" s="1"/>
  <c r="T41" i="5" s="1"/>
  <c r="J41" i="5"/>
  <c r="R40" i="5"/>
  <c r="S40" i="5" s="1"/>
  <c r="T40" i="5" s="1"/>
  <c r="J40" i="5"/>
  <c r="R39" i="5"/>
  <c r="S39" i="5" s="1"/>
  <c r="T39" i="5" s="1"/>
  <c r="J39" i="5"/>
  <c r="R38" i="5"/>
  <c r="S38" i="5" s="1"/>
  <c r="T38" i="5" s="1"/>
  <c r="J38" i="5"/>
  <c r="R37" i="5"/>
  <c r="S37" i="5" s="1"/>
  <c r="T37" i="5" s="1"/>
  <c r="J37" i="5"/>
  <c r="R36" i="5"/>
  <c r="S36" i="5" s="1"/>
  <c r="T36" i="5" s="1"/>
  <c r="J36" i="5"/>
  <c r="R35" i="5"/>
  <c r="S35" i="5" s="1"/>
  <c r="T35" i="5" s="1"/>
  <c r="J35" i="5"/>
  <c r="R34" i="5"/>
  <c r="S34" i="5" s="1"/>
  <c r="T34" i="5" s="1"/>
  <c r="J34" i="5"/>
  <c r="R33" i="5"/>
  <c r="S33" i="5" s="1"/>
  <c r="T33" i="5" s="1"/>
  <c r="J33" i="5"/>
  <c r="R32" i="5"/>
  <c r="S32" i="5" s="1"/>
  <c r="T32" i="5" s="1"/>
  <c r="J32" i="5"/>
  <c r="R31" i="5"/>
  <c r="S31" i="5" s="1"/>
  <c r="T31" i="5" s="1"/>
  <c r="J31" i="5"/>
  <c r="R30" i="5"/>
  <c r="S30" i="5" s="1"/>
  <c r="T30" i="5" s="1"/>
  <c r="J30" i="5"/>
  <c r="R29" i="5"/>
  <c r="S29" i="5" s="1"/>
  <c r="T29" i="5" s="1"/>
  <c r="J29" i="5"/>
  <c r="R28" i="5"/>
  <c r="S28" i="5" s="1"/>
  <c r="T28" i="5" s="1"/>
  <c r="J28" i="5"/>
  <c r="R27" i="5"/>
  <c r="S27" i="5" s="1"/>
  <c r="T27" i="5" s="1"/>
  <c r="J27" i="5"/>
  <c r="R26" i="5"/>
  <c r="S26" i="5" s="1"/>
  <c r="T26" i="5" s="1"/>
  <c r="O26" i="5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4" i="5" s="1"/>
  <c r="O45" i="5" s="1"/>
  <c r="O46" i="5" s="1"/>
  <c r="O47" i="5" s="1"/>
  <c r="O48" i="5" s="1"/>
  <c r="O49" i="5" s="1"/>
  <c r="O50" i="5" s="1"/>
  <c r="O51" i="5" s="1"/>
  <c r="N26" i="5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4" i="5" s="1"/>
  <c r="N45" i="5" s="1"/>
  <c r="N46" i="5" s="1"/>
  <c r="N47" i="5" s="1"/>
  <c r="N48" i="5" s="1"/>
  <c r="N49" i="5" s="1"/>
  <c r="N50" i="5" s="1"/>
  <c r="N51" i="5" s="1"/>
  <c r="N52" i="5" s="1"/>
  <c r="J26" i="5"/>
  <c r="I26" i="5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H26" i="5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R25" i="5"/>
  <c r="S25" i="5" s="1"/>
  <c r="T25" i="5" s="1"/>
  <c r="J25" i="5"/>
  <c r="R24" i="5"/>
  <c r="S24" i="5" s="1"/>
  <c r="T24" i="5" s="1"/>
  <c r="J24" i="5"/>
  <c r="R23" i="5"/>
  <c r="S23" i="5" s="1"/>
  <c r="T23" i="5" s="1"/>
  <c r="J23" i="5"/>
  <c r="R22" i="5"/>
  <c r="S22" i="5" s="1"/>
  <c r="T22" i="5" s="1"/>
  <c r="J22" i="5"/>
  <c r="R21" i="5"/>
  <c r="S21" i="5" s="1"/>
  <c r="T21" i="5" s="1"/>
  <c r="J21" i="5"/>
  <c r="R20" i="5"/>
  <c r="S20" i="5" s="1"/>
  <c r="T20" i="5" s="1"/>
  <c r="J20" i="5"/>
  <c r="R19" i="5"/>
  <c r="S19" i="5" s="1"/>
  <c r="T19" i="5" s="1"/>
  <c r="J19" i="5"/>
  <c r="R18" i="5"/>
  <c r="S18" i="5" s="1"/>
  <c r="T18" i="5" s="1"/>
  <c r="J18" i="5"/>
  <c r="R17" i="5"/>
  <c r="S17" i="5" s="1"/>
  <c r="T17" i="5" s="1"/>
  <c r="J17" i="5"/>
  <c r="R16" i="5"/>
  <c r="S16" i="5" s="1"/>
  <c r="T16" i="5" s="1"/>
  <c r="J16" i="5"/>
  <c r="R15" i="5"/>
  <c r="S15" i="5" s="1"/>
  <c r="T15" i="5" s="1"/>
  <c r="J15" i="5"/>
  <c r="R14" i="5"/>
  <c r="S14" i="5" s="1"/>
  <c r="T14" i="5" s="1"/>
  <c r="J14" i="5"/>
  <c r="R13" i="5"/>
  <c r="S13" i="5" s="1"/>
  <c r="T13" i="5" s="1"/>
  <c r="J13" i="5"/>
  <c r="R12" i="5"/>
  <c r="S12" i="5" s="1"/>
  <c r="T12" i="5" s="1"/>
  <c r="J12" i="5"/>
  <c r="R11" i="5"/>
  <c r="S11" i="5" s="1"/>
  <c r="T11" i="5" s="1"/>
  <c r="R10" i="5"/>
  <c r="S10" i="5" s="1"/>
  <c r="S73" i="5" l="1"/>
  <c r="S84" i="5" s="1"/>
  <c r="T10" i="5"/>
  <c r="T85" i="5" s="1"/>
  <c r="S85" i="5" l="1"/>
</calcChain>
</file>

<file path=xl/sharedStrings.xml><?xml version="1.0" encoding="utf-8"?>
<sst xmlns="http://schemas.openxmlformats.org/spreadsheetml/2006/main" count="807" uniqueCount="322">
  <si>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</si>
  <si>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</si>
  <si>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</si>
  <si>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</si>
  <si>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</si>
  <si>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</si>
  <si>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</si>
  <si>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</si>
  <si>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</si>
  <si>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</si>
  <si>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</si>
  <si>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</si>
  <si>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</si>
  <si>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</si>
  <si>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</si>
  <si>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</si>
  <si>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</si>
  <si>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</si>
  <si>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</si>
  <si>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</si>
  <si>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</si>
  <si>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</si>
  <si>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</si>
  <si>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</si>
  <si>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</si>
  <si>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</si>
  <si>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</si>
  <si>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</si>
  <si>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</si>
  <si>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</si>
  <si>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</si>
  <si>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</si>
  <si>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</si>
  <si>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</si>
  <si>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</si>
  <si>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</si>
  <si>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</si>
  <si>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</si>
  <si>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</si>
  <si>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</si>
  <si>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ОТ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</si>
  <si>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</si>
  <si>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</si>
  <si>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</si>
  <si>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</si>
  <si>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</si>
  <si>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</si>
  <si>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</si>
  <si>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</si>
  <si>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</si>
  <si>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</si>
  <si>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</si>
  <si>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</si>
  <si>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</si>
  <si>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</si>
  <si>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</si>
  <si>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</si>
  <si>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</si>
  <si>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</si>
  <si>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</si>
  <si>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</si>
  <si>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</si>
  <si>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</si>
  <si>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</si>
  <si>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</si>
  <si>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</si>
  <si>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</si>
  <si>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</si>
  <si>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</si>
  <si>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Ластик</t>
  </si>
  <si>
    <t>Файл А4</t>
  </si>
  <si>
    <t xml:space="preserve">Скоросшиватель </t>
  </si>
  <si>
    <t xml:space="preserve">Линейка </t>
  </si>
  <si>
    <t>Ластик, мягкий</t>
  </si>
  <si>
    <t>набор маркеров 4 цвета, пластиковый, скошенный, наконечник 1-5 мм, перманентный (нестираемый)</t>
  </si>
  <si>
    <t>Файл А4, из полипропиленовой пленки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</si>
  <si>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</si>
  <si>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</si>
  <si>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</si>
  <si>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</si>
  <si>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</si>
  <si>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</si>
  <si>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Клей</t>
  </si>
  <si>
    <t>Для заметок, формат блока 76*76 мм</t>
  </si>
  <si>
    <t>Канцелярский, карандаш</t>
  </si>
  <si>
    <t>Нож</t>
  </si>
  <si>
    <t>Макетный</t>
  </si>
  <si>
    <t>Скрепка</t>
  </si>
  <si>
    <t>Металлическая, размер 33 мм</t>
  </si>
  <si>
    <t>Конверты</t>
  </si>
  <si>
    <t>(230х330)</t>
  </si>
  <si>
    <t>Антистеплер</t>
  </si>
  <si>
    <t>Для скоб</t>
  </si>
  <si>
    <t>Степлер</t>
  </si>
  <si>
    <t>канцелярский, механический</t>
  </si>
  <si>
    <t>Ножницы</t>
  </si>
  <si>
    <t>Дырокол</t>
  </si>
  <si>
    <t>Канцелярский</t>
  </si>
  <si>
    <t>Штрих-корректор</t>
  </si>
  <si>
    <t>Точилка</t>
  </si>
  <si>
    <t>Пластиковая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</si>
  <si>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</si>
  <si>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</si>
  <si>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</si>
  <si>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</si>
  <si>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</si>
  <si>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</si>
  <si>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</si>
  <si>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</si>
  <si>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</si>
  <si>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</si>
  <si>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</si>
  <si>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</si>
  <si>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</si>
  <si>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</si>
  <si>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Батарейка</t>
  </si>
  <si>
    <t>Тип ААА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</si>
  <si>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</si>
  <si>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</si>
  <si>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Корректирующая ручка</t>
  </si>
  <si>
    <t>7 мл. в блистере</t>
  </si>
  <si>
    <t>Регистратор А4, 80мм.</t>
  </si>
  <si>
    <t xml:space="preserve">Папка  </t>
  </si>
  <si>
    <t>Грифель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</si>
  <si>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</si>
  <si>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</si>
  <si>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Настольный набор</t>
  </si>
  <si>
    <t>Журнал регистрации договоров</t>
  </si>
  <si>
    <t>172313.100.000004</t>
  </si>
  <si>
    <t>15у</t>
  </si>
  <si>
    <t>аванс 30%, по факту 70%</t>
  </si>
  <si>
    <t>Аванс 100%, 0% оплата по факту</t>
  </si>
  <si>
    <t>Отчет о совместимости для План закупок на 2018 год с изменениями от 14 июня.xls</t>
  </si>
  <si>
    <t>Дата отчета: 23.07.2018 11:11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</si>
  <si>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</si>
  <si>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</si>
  <si>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</si>
  <si>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</si>
  <si>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формулы, которые ссылаются на другие закрытые книги. Если связанные книги закрыты, то при пересчете в более ранних версиях Excel значения этих формул будут ограничены 255 знаками.</t>
  </si>
  <si>
    <t>План закупок КФ "СК-Астана"кор'!D84</t>
  </si>
  <si>
    <t>Excel 97–2003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</si>
  <si>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</si>
  <si>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</si>
  <si>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</si>
  <si>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</si>
  <si>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</si>
  <si>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</si>
  <si>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</si>
  <si>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</si>
  <si>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</si>
  <si>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Операционная система Windows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</si>
  <si>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</si>
  <si>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</si>
  <si>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</si>
  <si>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</si>
  <si>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</si>
  <si>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</si>
  <si>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апрель-май</t>
  </si>
  <si>
    <t>февраль-март</t>
  </si>
  <si>
    <t>январь-феваль</t>
  </si>
  <si>
    <t>ноябрь</t>
  </si>
  <si>
    <t>август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</si>
  <si>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</si>
  <si>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</si>
  <si>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</si>
  <si>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</si>
  <si>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</si>
  <si>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</si>
  <si>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</si>
  <si>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</si>
  <si>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620920.000.000001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</si>
  <si>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</si>
  <si>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</si>
  <si>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</si>
  <si>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</si>
  <si>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</si>
  <si>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</si>
  <si>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</si>
  <si>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</si>
  <si>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257113.350.000000</t>
  </si>
  <si>
    <t xml:space="preserve">329959.900.000066 </t>
  </si>
  <si>
    <t>329959.900.000067</t>
  </si>
  <si>
    <t>282323.900.000005</t>
  </si>
  <si>
    <t>282323.900.000002</t>
  </si>
  <si>
    <t>282323.900.000008</t>
  </si>
  <si>
    <t>172312.300.000001</t>
  </si>
  <si>
    <t>259923.500.000005</t>
  </si>
  <si>
    <t>257111.910.000000</t>
  </si>
  <si>
    <t>257111.390.000006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</si>
  <si>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</si>
  <si>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</si>
  <si>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</si>
  <si>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</si>
  <si>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</si>
  <si>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</si>
  <si>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</si>
  <si>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</si>
  <si>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</si>
  <si>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</si>
  <si>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</si>
  <si>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221973.210.000000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</si>
  <si>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</si>
  <si>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</si>
  <si>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</si>
  <si>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</si>
  <si>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</si>
  <si>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</si>
  <si>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</si>
  <si>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>Услуги по администрированию и техническому обслуживанию программного обеспечения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</si>
  <si>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</si>
  <si>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</si>
  <si>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</si>
  <si>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</si>
  <si>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</si>
  <si>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</si>
  <si>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</si>
  <si>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</si>
  <si>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</si>
  <si>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</si>
  <si>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</si>
  <si>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</si>
  <si>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</si>
  <si>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</si>
  <si>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t xml:space="preserve">Услуги информационного мониторинга СМИ                                                                                             </t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</si>
  <si>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</si>
  <si>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</si>
  <si>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</si>
  <si>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</si>
  <si>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</si>
  <si>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письменный</t>
  </si>
  <si>
    <t>Простой</t>
  </si>
  <si>
    <t>Карандаш</t>
  </si>
  <si>
    <t>Измерительная</t>
  </si>
  <si>
    <t>Маркер</t>
  </si>
  <si>
    <t>Ручка канцелярская</t>
  </si>
  <si>
    <t>Шариковая</t>
  </si>
  <si>
    <t>(110 х 220 мм)</t>
  </si>
  <si>
    <t>Самоклеющиеся, в наборе, 25*45</t>
  </si>
  <si>
    <t>Самоклеющиеся, в наборе, 45*12</t>
  </si>
  <si>
    <t>Металлическая, размер 28 мм</t>
  </si>
  <si>
    <t>С пластиковой ручкой</t>
  </si>
  <si>
    <t>Грифель черный 16 мм</t>
  </si>
  <si>
    <t>Скоросшиватель картон, А4 (картонный)</t>
  </si>
  <si>
    <t>Скоросшиватель картон, картонный, формат А4 (пластиковый)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</si>
  <si>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</si>
  <si>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</si>
  <si>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</si>
  <si>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</si>
  <si>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</si>
  <si>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</si>
  <si>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</si>
  <si>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</si>
  <si>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</si>
  <si>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</si>
  <si>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</si>
  <si>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</si>
  <si>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</si>
  <si>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</si>
  <si>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</si>
  <si>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</si>
  <si>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</si>
  <si>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</si>
  <si>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</si>
  <si>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</si>
  <si>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</si>
  <si>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</si>
  <si>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</si>
  <si>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</si>
  <si>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</si>
  <si>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</si>
  <si>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</si>
  <si>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</si>
  <si>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329959.900.000081</t>
  </si>
  <si>
    <t>Скотч</t>
  </si>
  <si>
    <t>48 мм.Х66м.прозрачный</t>
  </si>
  <si>
    <t>18 мм.Х56м.прозрачный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</si>
  <si>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</si>
  <si>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</si>
  <si>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</si>
  <si>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Услуги общего центра обслуживания по закупочной и административно-хозяйственной деятельности</t>
  </si>
  <si>
    <t>август-сентябрь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</si>
  <si>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</si>
  <si>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</si>
  <si>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</si>
  <si>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Астана</t>
  </si>
  <si>
    <t>январь</t>
  </si>
  <si>
    <t xml:space="preserve">Услуги по аренде легковых автомобилей с водителем: служебный легковой автомобиль </t>
  </si>
  <si>
    <t xml:space="preserve"> Утвержден приказом Генерального директора  Корпоративного фонда "Samruk-Kazyna Trust"  от "___" декабря 2020 г. </t>
  </si>
  <si>
    <t>План закупок товаров, работ и услуг Корпоративного фонда «Samruk-Kazyna Trust» на 2021 год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</si>
  <si>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</si>
  <si>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</si>
  <si>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</si>
  <si>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25у</t>
  </si>
  <si>
    <t>26у</t>
  </si>
  <si>
    <t>март-апрель</t>
  </si>
  <si>
    <t>аванс 70%, по факту 30%</t>
  </si>
  <si>
    <t>631112.000.000001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</si>
  <si>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</si>
  <si>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</si>
  <si>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</si>
  <si>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</si>
  <si>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</si>
  <si>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с изменением и дополнением, утвержденными приказом от "____"__________ 2021 г. №_____</t>
  </si>
  <si>
    <t>Моноблок</t>
  </si>
  <si>
    <t>43т</t>
  </si>
  <si>
    <t>262013.000.000011</t>
  </si>
  <si>
    <t>моноблок, универсальный (решающий широкий круг задач), Среднепроизводительный</t>
  </si>
  <si>
    <t>27у</t>
  </si>
  <si>
    <t>28у</t>
  </si>
  <si>
    <t>29у</t>
  </si>
  <si>
    <t>Услуги по проведению аудита ФХД за 2020 г</t>
  </si>
  <si>
    <t xml:space="preserve"> 692010.000.000001</t>
  </si>
  <si>
    <t>Диагностическое исследование методом ПЦР на COVID 19</t>
  </si>
  <si>
    <t>Выезд мобильной группы для забора образцов биоматериала</t>
  </si>
  <si>
    <t>783016.000.000000</t>
  </si>
  <si>
    <t>Услуги по предоставлению медицинского обслуживания персонала</t>
  </si>
  <si>
    <t>Услуги проведения аудита</t>
  </si>
  <si>
    <t>841212.025.000000</t>
  </si>
  <si>
    <t>Диагностика инфекционных заболеваний (ПЦР)</t>
  </si>
  <si>
    <t>август-декабрь</t>
  </si>
  <si>
    <t>г. Нур-Султан, ул. Сыганак, дом 17/10</t>
  </si>
  <si>
    <t>аванс 50%, по факту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</si>
</sst>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5" x14ac:knownFonts="1"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1" fillId="0" borderId="4" xfId="1" quotePrefix="1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9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7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2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7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F%D1%80%D0%BE%D0%B3%D1%80%D0%B0%D0%BC&amp;s=common&amp;st=all&amp;p=10&amp;n=0&amp;S=620111%2E900&amp;N=%D0%A3%D1%81%D0%BB%D1%83%D0%B3%D0%B8%20%D0%BF%D0%BE%20%D0%BC%D0%BE%D0%B4%D0%B8%D1%84%D0%B8%D0%BA%D0%B0%D1%86%D0%B8%D0%B8%20%D0%BF%D1%80%D0%BE%D0%B3%D1%80%D0%B0%D0%BC%D0%BC%D0%BD%D0%BE%D0%B3%D0%BE%20%D0%BE%D0%B1%D0%B5%D1%81%D0%BF%D0%B5%D1%87%D0%B5%D0%BD%D0%B8%D1%8F&amp;fc=1&amp;fg=0&amp;new=620111.900.000002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1%81%D0%B0%D0%B9%D1%82&amp;s=common&amp;st=all&amp;p=10&amp;n=0&amp;S=631112%2E000&amp;N=%D0%A3%D1%81%D0%BB%D1%83%D0%B3%D0%B8%20%D0%BF%D0%BE%20%D0%B8%D0%BD%D1%84%D0%BE%D1%80%D0%BC%D0%B0%D1%86%D0%B8%D0%BE%D0%BD%D0%BD%D0%BE%D0%B9%20%D0%BF%D0%BE%D0%B4%D0%B4%D0%B5%D1%80%D0%B6%D0%BA%D0%B5%20%D1%81%D0%B0%D0%B9%D1%82%D0%BE%D0%B2&amp;fc=1&amp;fg=0&amp;new=631112.000.000001" TargetMode="External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00"/>
  <sheetViews>
    <sheetView tabSelected="1" topLeftCell="E79" zoomScale="70" zoomScaleNormal="70" zoomScaleSheetLayoutView="70" workbookViewId="0">
      <selection activeCell="P7" sqref="P7"/>
    </sheetView>
  </sheetViews>
  <sheetFormatPr defaultColWidth="9.28515625" defaultRowHeight="12.75" x14ac:dyDescent="0.2"/>
  <cols>
    <col min="1" max="1" width="5.7109375" style="4" customWidth="1"/>
    <col min="2" max="2" width="11.7109375" style="4" customWidth="1"/>
    <col min="3" max="3" width="15.42578125" style="4" customWidth="1"/>
    <col min="4" max="4" width="22.7109375" style="4" customWidth="1"/>
    <col min="5" max="5" width="31.85546875" style="36" customWidth="1"/>
    <col min="6" max="6" width="50.42578125" style="36" customWidth="1"/>
    <col min="7" max="7" width="36.5703125" style="4" customWidth="1"/>
    <col min="8" max="8" width="12.7109375" style="4" customWidth="1"/>
    <col min="9" max="9" width="12.85546875" style="4" customWidth="1"/>
    <col min="10" max="10" width="12.7109375" style="4" customWidth="1"/>
    <col min="11" max="11" width="17.42578125" style="4" customWidth="1"/>
    <col min="12" max="12" width="16.28515625" style="4" customWidth="1"/>
    <col min="13" max="13" width="12.140625" style="4" customWidth="1"/>
    <col min="14" max="14" width="11.140625" style="4" customWidth="1"/>
    <col min="15" max="16" width="15.5703125" style="6" customWidth="1"/>
    <col min="17" max="17" width="11.42578125" style="6" customWidth="1"/>
    <col min="18" max="18" width="14.7109375" style="57" customWidth="1"/>
    <col min="19" max="19" width="15.28515625" style="57" customWidth="1"/>
    <col min="20" max="20" width="15.140625" style="57" customWidth="1"/>
    <col min="21" max="21" width="12.5703125" style="6" customWidth="1"/>
    <col min="22" max="22" width="17.28515625" style="6" customWidth="1"/>
    <col min="23" max="23" width="18.140625" style="6" customWidth="1"/>
    <col min="24" max="24" width="12.42578125" style="4" customWidth="1"/>
    <col min="25" max="25" width="9.42578125" style="4" customWidth="1"/>
    <col min="26" max="26" width="7.28515625" style="4" customWidth="1"/>
    <col min="27" max="27" width="10.7109375" style="1" customWidth="1"/>
    <col min="28" max="28" width="9.28515625" style="1"/>
    <col min="29" max="16384" width="9.28515625" style="4"/>
  </cols>
  <sheetData>
    <row r="1" spans="2:28" ht="21.75" customHeight="1" x14ac:dyDescent="0.2">
      <c r="B1" s="8"/>
      <c r="C1" s="8"/>
      <c r="D1" s="7"/>
      <c r="E1" s="52"/>
      <c r="F1" s="52"/>
      <c r="G1" s="8"/>
      <c r="H1" s="8"/>
      <c r="I1" s="24"/>
      <c r="J1" s="24"/>
      <c r="K1" s="67" t="s">
        <v>287</v>
      </c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6"/>
      <c r="Y1" s="66"/>
      <c r="Z1" s="25"/>
    </row>
    <row r="2" spans="2:28" ht="21.75" customHeight="1" x14ac:dyDescent="0.2">
      <c r="B2" s="41"/>
      <c r="C2" s="41"/>
      <c r="D2" s="7"/>
      <c r="E2" s="52"/>
      <c r="F2" s="52"/>
      <c r="G2" s="41"/>
      <c r="H2" s="41"/>
      <c r="I2" s="24"/>
      <c r="J2" s="24"/>
      <c r="K2" s="61"/>
      <c r="L2" s="61"/>
      <c r="M2" s="61"/>
      <c r="N2" s="61"/>
      <c r="O2" s="66" t="s">
        <v>302</v>
      </c>
      <c r="P2" s="66"/>
      <c r="Q2" s="66"/>
      <c r="R2" s="66"/>
      <c r="S2" s="66"/>
      <c r="T2" s="66"/>
      <c r="U2" s="66"/>
      <c r="V2" s="66"/>
      <c r="W2" s="66"/>
      <c r="X2" s="66"/>
      <c r="Y2" s="66"/>
      <c r="Z2" s="25"/>
    </row>
    <row r="3" spans="2:28" ht="15.75" x14ac:dyDescent="0.2">
      <c r="B3" s="8"/>
      <c r="C3" s="8"/>
      <c r="D3" s="7"/>
      <c r="E3" s="52"/>
      <c r="F3" s="52"/>
      <c r="G3" s="8"/>
      <c r="H3" s="8"/>
      <c r="I3" s="24"/>
      <c r="J3" s="24"/>
      <c r="K3" s="24"/>
      <c r="L3" s="24"/>
      <c r="M3" s="24"/>
      <c r="N3" s="24"/>
      <c r="O3" s="66" t="s">
        <v>302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24"/>
    </row>
    <row r="4" spans="2:28" ht="15.75" x14ac:dyDescent="0.2">
      <c r="B4" s="8"/>
      <c r="C4" s="8"/>
      <c r="D4" s="7"/>
      <c r="E4" s="52"/>
      <c r="F4" s="52"/>
      <c r="G4" s="8"/>
      <c r="H4" s="8"/>
      <c r="I4" s="24"/>
      <c r="J4" s="24"/>
      <c r="K4" s="24"/>
      <c r="L4" s="24"/>
      <c r="M4" s="24"/>
      <c r="N4" s="24"/>
      <c r="O4" s="32"/>
      <c r="P4" s="32"/>
      <c r="Q4" s="32"/>
      <c r="R4" s="51"/>
      <c r="S4" s="51"/>
      <c r="T4" s="51"/>
      <c r="U4" s="32"/>
      <c r="V4" s="32"/>
      <c r="W4" s="32"/>
      <c r="X4" s="66"/>
      <c r="Y4" s="66"/>
      <c r="Z4" s="24"/>
    </row>
    <row r="5" spans="2:28" ht="15.75" x14ac:dyDescent="0.2">
      <c r="B5" s="8"/>
      <c r="C5" s="8"/>
      <c r="D5" s="7"/>
      <c r="E5" s="52"/>
      <c r="F5" s="59"/>
      <c r="G5" s="8"/>
      <c r="H5" s="8"/>
      <c r="I5" s="64" t="s">
        <v>288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24"/>
      <c r="W5" s="24"/>
      <c r="X5" s="66"/>
      <c r="Y5" s="66"/>
      <c r="Z5" s="24"/>
    </row>
    <row r="6" spans="2:28" ht="12.75" customHeight="1" x14ac:dyDescent="0.2">
      <c r="B6" s="8"/>
      <c r="C6" s="8"/>
      <c r="D6" s="7"/>
      <c r="E6" s="52"/>
      <c r="F6" s="5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52"/>
      <c r="S6" s="52"/>
      <c r="T6" s="52"/>
      <c r="U6" s="8"/>
      <c r="V6" s="8"/>
      <c r="W6" s="8"/>
      <c r="X6" s="66"/>
      <c r="Y6" s="66"/>
      <c r="Z6" s="8"/>
    </row>
    <row r="7" spans="2:28" s="58" customFormat="1" ht="189" customHeight="1" x14ac:dyDescent="0.2">
      <c r="B7" s="49" t="s">
        <v>0</v>
      </c>
      <c r="C7" s="49" t="s">
        <v>1</v>
      </c>
      <c r="D7" s="50" t="s">
        <v>2</v>
      </c>
      <c r="E7" s="49" t="s">
        <v>3</v>
      </c>
      <c r="F7" s="49" t="s">
        <v>4</v>
      </c>
      <c r="G7" s="49" t="s">
        <v>5</v>
      </c>
      <c r="H7" s="49" t="s">
        <v>6</v>
      </c>
      <c r="I7" s="49" t="s">
        <v>152</v>
      </c>
      <c r="J7" s="49" t="s">
        <v>7</v>
      </c>
      <c r="K7" s="49" t="s">
        <v>8</v>
      </c>
      <c r="L7" s="49" t="s">
        <v>9</v>
      </c>
      <c r="M7" s="49" t="s">
        <v>10</v>
      </c>
      <c r="N7" s="49" t="s">
        <v>11</v>
      </c>
      <c r="O7" s="49" t="s">
        <v>12</v>
      </c>
      <c r="P7" s="49" t="s">
        <v>13</v>
      </c>
      <c r="Q7" s="49" t="s">
        <v>14</v>
      </c>
      <c r="R7" s="49" t="s">
        <v>15</v>
      </c>
      <c r="S7" s="49" t="s">
        <v>16</v>
      </c>
      <c r="T7" s="49" t="s">
        <v>17</v>
      </c>
      <c r="U7" s="49" t="s">
        <v>18</v>
      </c>
      <c r="V7" s="49" t="s">
        <v>19</v>
      </c>
      <c r="W7" s="49" t="s">
        <v>20</v>
      </c>
      <c r="X7" s="66"/>
      <c r="Y7" s="66"/>
    </row>
    <row r="8" spans="2:28" ht="15.75" x14ac:dyDescent="0.2">
      <c r="B8" s="27">
        <v>1</v>
      </c>
      <c r="C8" s="27">
        <v>2</v>
      </c>
      <c r="D8" s="28"/>
      <c r="E8" s="53">
        <v>4</v>
      </c>
      <c r="F8" s="53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  <c r="O8" s="27">
        <v>14</v>
      </c>
      <c r="P8" s="27"/>
      <c r="Q8" s="27">
        <v>16</v>
      </c>
      <c r="R8" s="53">
        <v>17</v>
      </c>
      <c r="S8" s="53">
        <v>18</v>
      </c>
      <c r="T8" s="53">
        <v>19</v>
      </c>
      <c r="U8" s="27">
        <v>20</v>
      </c>
      <c r="V8" s="27">
        <v>21</v>
      </c>
      <c r="W8" s="27">
        <v>22</v>
      </c>
      <c r="X8" s="66"/>
      <c r="Y8" s="66"/>
      <c r="AA8" s="4"/>
      <c r="AB8" s="4"/>
    </row>
    <row r="9" spans="2:28" ht="33" customHeight="1" x14ac:dyDescent="0.2">
      <c r="B9" s="68" t="s">
        <v>21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6"/>
      <c r="Y9" s="66"/>
      <c r="Z9" s="22"/>
      <c r="AA9" s="4"/>
      <c r="AB9" s="4"/>
    </row>
    <row r="10" spans="2:28" s="36" customFormat="1" ht="65.099999999999994" customHeight="1" x14ac:dyDescent="0.2">
      <c r="B10" s="35" t="s">
        <v>41</v>
      </c>
      <c r="C10" s="35" t="s">
        <v>78</v>
      </c>
      <c r="D10" s="37" t="s">
        <v>202</v>
      </c>
      <c r="E10" s="35" t="s">
        <v>66</v>
      </c>
      <c r="F10" s="35" t="s">
        <v>67</v>
      </c>
      <c r="G10" s="35"/>
      <c r="H10" s="35" t="s">
        <v>23</v>
      </c>
      <c r="I10" s="34">
        <v>0</v>
      </c>
      <c r="J10" s="35">
        <v>710000000</v>
      </c>
      <c r="K10" s="35" t="s">
        <v>320</v>
      </c>
      <c r="L10" s="35" t="s">
        <v>157</v>
      </c>
      <c r="M10" s="35" t="s">
        <v>282</v>
      </c>
      <c r="N10" s="35" t="s">
        <v>22</v>
      </c>
      <c r="O10" s="34">
        <v>1</v>
      </c>
      <c r="P10" s="35" t="s">
        <v>153</v>
      </c>
      <c r="Q10" s="35">
        <v>500</v>
      </c>
      <c r="R10" s="38">
        <f>1750/1.12</f>
        <v>1562.4999999999998</v>
      </c>
      <c r="S10" s="33">
        <f t="shared" ref="S10:S51" si="0">R10*Q10</f>
        <v>781249.99999999988</v>
      </c>
      <c r="T10" s="33">
        <f t="shared" ref="T10:T50" si="1">S10*1.12</f>
        <v>875000</v>
      </c>
      <c r="U10" s="33"/>
      <c r="V10" s="35">
        <v>2021</v>
      </c>
      <c r="W10" s="39"/>
      <c r="X10" s="63"/>
      <c r="Y10" s="63"/>
    </row>
    <row r="11" spans="2:28" s="36" customFormat="1" ht="65.099999999999994" customHeight="1" x14ac:dyDescent="0.2">
      <c r="B11" s="35" t="s">
        <v>57</v>
      </c>
      <c r="C11" s="35" t="s">
        <v>78</v>
      </c>
      <c r="D11" s="37" t="s">
        <v>202</v>
      </c>
      <c r="E11" s="35" t="s">
        <v>66</v>
      </c>
      <c r="F11" s="35" t="s">
        <v>228</v>
      </c>
      <c r="G11" s="35"/>
      <c r="H11" s="35" t="s">
        <v>23</v>
      </c>
      <c r="I11" s="34">
        <v>0</v>
      </c>
      <c r="J11" s="35">
        <v>710000000</v>
      </c>
      <c r="K11" s="35" t="s">
        <v>320</v>
      </c>
      <c r="L11" s="35" t="s">
        <v>157</v>
      </c>
      <c r="M11" s="35" t="s">
        <v>282</v>
      </c>
      <c r="N11" s="35" t="s">
        <v>22</v>
      </c>
      <c r="O11" s="34">
        <v>1</v>
      </c>
      <c r="P11" s="35" t="s">
        <v>153</v>
      </c>
      <c r="Q11" s="35">
        <v>10</v>
      </c>
      <c r="R11" s="38">
        <f>3385/1.12</f>
        <v>3022.3214285714284</v>
      </c>
      <c r="S11" s="33">
        <f t="shared" si="0"/>
        <v>30223.214285714283</v>
      </c>
      <c r="T11" s="33">
        <f t="shared" si="1"/>
        <v>33850</v>
      </c>
      <c r="U11" s="33"/>
      <c r="V11" s="35">
        <v>2021</v>
      </c>
      <c r="W11" s="39"/>
      <c r="X11" s="63"/>
      <c r="Y11" s="63"/>
    </row>
    <row r="12" spans="2:28" s="36" customFormat="1" ht="65.099999999999994" customHeight="1" x14ac:dyDescent="0.2">
      <c r="B12" s="35" t="s">
        <v>258</v>
      </c>
      <c r="C12" s="35" t="s">
        <v>78</v>
      </c>
      <c r="D12" s="37" t="s">
        <v>201</v>
      </c>
      <c r="E12" s="35" t="s">
        <v>68</v>
      </c>
      <c r="F12" s="35" t="s">
        <v>230</v>
      </c>
      <c r="G12" s="35"/>
      <c r="H12" s="35" t="s">
        <v>23</v>
      </c>
      <c r="I12" s="34">
        <v>0</v>
      </c>
      <c r="J12" s="35">
        <f t="shared" ref="J12:J52" si="2">$J$10</f>
        <v>710000000</v>
      </c>
      <c r="K12" s="35" t="s">
        <v>320</v>
      </c>
      <c r="L12" s="35" t="s">
        <v>157</v>
      </c>
      <c r="M12" s="35" t="s">
        <v>282</v>
      </c>
      <c r="N12" s="35" t="s">
        <v>22</v>
      </c>
      <c r="O12" s="34">
        <v>1</v>
      </c>
      <c r="P12" s="35" t="s">
        <v>153</v>
      </c>
      <c r="Q12" s="35">
        <v>5</v>
      </c>
      <c r="R12" s="38">
        <f>5845/1.12</f>
        <v>5218.7499999999991</v>
      </c>
      <c r="S12" s="33">
        <f t="shared" si="0"/>
        <v>26093.749999999996</v>
      </c>
      <c r="T12" s="33">
        <f t="shared" si="1"/>
        <v>29225</v>
      </c>
      <c r="U12" s="33"/>
      <c r="V12" s="35">
        <v>2021</v>
      </c>
      <c r="W12" s="39"/>
      <c r="X12" s="63"/>
      <c r="Y12" s="63"/>
    </row>
    <row r="13" spans="2:28" s="36" customFormat="1" ht="65.099999999999994" customHeight="1" x14ac:dyDescent="0.2">
      <c r="B13" s="35" t="s">
        <v>58</v>
      </c>
      <c r="C13" s="35" t="s">
        <v>78</v>
      </c>
      <c r="D13" s="37" t="s">
        <v>200</v>
      </c>
      <c r="E13" s="35" t="s">
        <v>69</v>
      </c>
      <c r="F13" s="35" t="s">
        <v>73</v>
      </c>
      <c r="G13" s="35"/>
      <c r="H13" s="35" t="s">
        <v>23</v>
      </c>
      <c r="I13" s="34">
        <v>0</v>
      </c>
      <c r="J13" s="35">
        <f t="shared" si="2"/>
        <v>710000000</v>
      </c>
      <c r="K13" s="35" t="s">
        <v>320</v>
      </c>
      <c r="L13" s="35" t="s">
        <v>157</v>
      </c>
      <c r="M13" s="35" t="s">
        <v>282</v>
      </c>
      <c r="N13" s="35" t="s">
        <v>22</v>
      </c>
      <c r="O13" s="34">
        <v>1</v>
      </c>
      <c r="P13" s="35" t="s">
        <v>153</v>
      </c>
      <c r="Q13" s="35">
        <v>20</v>
      </c>
      <c r="R13" s="38">
        <f>115/1.12</f>
        <v>102.67857142857142</v>
      </c>
      <c r="S13" s="33">
        <f t="shared" si="0"/>
        <v>2053.5714285714284</v>
      </c>
      <c r="T13" s="33">
        <f t="shared" si="1"/>
        <v>2300</v>
      </c>
      <c r="U13" s="33"/>
      <c r="V13" s="35">
        <v>2021</v>
      </c>
      <c r="W13" s="39"/>
      <c r="X13" s="63"/>
      <c r="Y13" s="63"/>
    </row>
    <row r="14" spans="2:28" s="36" customFormat="1" ht="65.45" customHeight="1" x14ac:dyDescent="0.2">
      <c r="B14" s="35" t="s">
        <v>259</v>
      </c>
      <c r="C14" s="35" t="s">
        <v>78</v>
      </c>
      <c r="D14" s="37" t="s">
        <v>199</v>
      </c>
      <c r="E14" s="35" t="s">
        <v>231</v>
      </c>
      <c r="F14" s="35" t="s">
        <v>230</v>
      </c>
      <c r="G14" s="35"/>
      <c r="H14" s="35" t="s">
        <v>23</v>
      </c>
      <c r="I14" s="34">
        <v>0</v>
      </c>
      <c r="J14" s="35">
        <f t="shared" si="2"/>
        <v>710000000</v>
      </c>
      <c r="K14" s="35" t="s">
        <v>320</v>
      </c>
      <c r="L14" s="35" t="s">
        <v>157</v>
      </c>
      <c r="M14" s="35" t="s">
        <v>282</v>
      </c>
      <c r="N14" s="35" t="s">
        <v>22</v>
      </c>
      <c r="O14" s="34">
        <v>1</v>
      </c>
      <c r="P14" s="35" t="s">
        <v>154</v>
      </c>
      <c r="Q14" s="35">
        <v>100</v>
      </c>
      <c r="R14" s="38">
        <f>370/1.12</f>
        <v>330.35714285714283</v>
      </c>
      <c r="S14" s="33">
        <f t="shared" si="0"/>
        <v>33035.714285714283</v>
      </c>
      <c r="T14" s="33">
        <f t="shared" si="1"/>
        <v>37000</v>
      </c>
      <c r="U14" s="33"/>
      <c r="V14" s="35">
        <v>2021</v>
      </c>
      <c r="W14" s="39"/>
      <c r="X14" s="63"/>
      <c r="Y14" s="63"/>
    </row>
    <row r="15" spans="2:28" s="36" customFormat="1" ht="65.099999999999994" customHeight="1" x14ac:dyDescent="0.2">
      <c r="B15" s="35" t="s">
        <v>260</v>
      </c>
      <c r="C15" s="35" t="s">
        <v>78</v>
      </c>
      <c r="D15" s="37" t="s">
        <v>198</v>
      </c>
      <c r="E15" s="35" t="s">
        <v>233</v>
      </c>
      <c r="F15" s="35" t="s">
        <v>74</v>
      </c>
      <c r="G15" s="35"/>
      <c r="H15" s="35" t="s">
        <v>23</v>
      </c>
      <c r="I15" s="34">
        <v>0</v>
      </c>
      <c r="J15" s="35">
        <f t="shared" si="2"/>
        <v>710000000</v>
      </c>
      <c r="K15" s="35" t="s">
        <v>320</v>
      </c>
      <c r="L15" s="35" t="s">
        <v>157</v>
      </c>
      <c r="M15" s="35" t="s">
        <v>282</v>
      </c>
      <c r="N15" s="35" t="s">
        <v>22</v>
      </c>
      <c r="O15" s="34">
        <v>1</v>
      </c>
      <c r="P15" s="35" t="s">
        <v>153</v>
      </c>
      <c r="Q15" s="35">
        <v>20</v>
      </c>
      <c r="R15" s="38">
        <f>900/1.12</f>
        <v>803.57142857142844</v>
      </c>
      <c r="S15" s="33">
        <f t="shared" si="0"/>
        <v>16071.428571428569</v>
      </c>
      <c r="T15" s="33">
        <f t="shared" si="1"/>
        <v>18000</v>
      </c>
      <c r="U15" s="33"/>
      <c r="V15" s="35">
        <v>2021</v>
      </c>
      <c r="W15" s="39"/>
      <c r="X15" s="63"/>
      <c r="Y15" s="63"/>
    </row>
    <row r="16" spans="2:28" s="36" customFormat="1" ht="65.099999999999994" customHeight="1" x14ac:dyDescent="0.2">
      <c r="B16" s="35" t="s">
        <v>261</v>
      </c>
      <c r="C16" s="35" t="s">
        <v>78</v>
      </c>
      <c r="D16" s="37" t="s">
        <v>197</v>
      </c>
      <c r="E16" s="35" t="s">
        <v>234</v>
      </c>
      <c r="F16" s="35" t="s">
        <v>235</v>
      </c>
      <c r="G16" s="35"/>
      <c r="H16" s="35" t="s">
        <v>23</v>
      </c>
      <c r="I16" s="34">
        <v>0</v>
      </c>
      <c r="J16" s="35">
        <f t="shared" si="2"/>
        <v>710000000</v>
      </c>
      <c r="K16" s="35" t="s">
        <v>320</v>
      </c>
      <c r="L16" s="35" t="s">
        <v>157</v>
      </c>
      <c r="M16" s="35" t="s">
        <v>282</v>
      </c>
      <c r="N16" s="35" t="s">
        <v>22</v>
      </c>
      <c r="O16" s="34">
        <v>1</v>
      </c>
      <c r="P16" s="35" t="s">
        <v>153</v>
      </c>
      <c r="Q16" s="35">
        <v>150</v>
      </c>
      <c r="R16" s="38">
        <f>135/1.12</f>
        <v>120.53571428571428</v>
      </c>
      <c r="S16" s="33">
        <f t="shared" si="0"/>
        <v>18080.357142857141</v>
      </c>
      <c r="T16" s="33">
        <f t="shared" si="1"/>
        <v>20250</v>
      </c>
      <c r="U16" s="33"/>
      <c r="V16" s="35">
        <v>2021</v>
      </c>
      <c r="W16" s="39"/>
      <c r="X16" s="63"/>
      <c r="Y16" s="63"/>
    </row>
    <row r="17" spans="2:25" s="36" customFormat="1" ht="65.099999999999994" customHeight="1" x14ac:dyDescent="0.2">
      <c r="B17" s="35" t="s">
        <v>59</v>
      </c>
      <c r="C17" s="35" t="s">
        <v>78</v>
      </c>
      <c r="D17" s="37" t="s">
        <v>196</v>
      </c>
      <c r="E17" s="35" t="s">
        <v>70</v>
      </c>
      <c r="F17" s="35" t="s">
        <v>75</v>
      </c>
      <c r="G17" s="35"/>
      <c r="H17" s="35" t="s">
        <v>23</v>
      </c>
      <c r="I17" s="34">
        <v>0</v>
      </c>
      <c r="J17" s="35">
        <f t="shared" si="2"/>
        <v>710000000</v>
      </c>
      <c r="K17" s="35" t="s">
        <v>320</v>
      </c>
      <c r="L17" s="35" t="s">
        <v>157</v>
      </c>
      <c r="M17" s="35" t="s">
        <v>282</v>
      </c>
      <c r="N17" s="35" t="s">
        <v>22</v>
      </c>
      <c r="O17" s="34">
        <v>1</v>
      </c>
      <c r="P17" s="35" t="s">
        <v>154</v>
      </c>
      <c r="Q17" s="35">
        <v>5</v>
      </c>
      <c r="R17" s="38">
        <f>1250/1.12</f>
        <v>1116.0714285714284</v>
      </c>
      <c r="S17" s="33">
        <f t="shared" si="0"/>
        <v>5580.3571428571422</v>
      </c>
      <c r="T17" s="33">
        <f t="shared" si="1"/>
        <v>6250</v>
      </c>
      <c r="U17" s="33"/>
      <c r="V17" s="35">
        <v>2021</v>
      </c>
      <c r="W17" s="39"/>
      <c r="X17" s="63"/>
      <c r="Y17" s="63"/>
    </row>
    <row r="18" spans="2:25" s="36" customFormat="1" ht="65.099999999999994" customHeight="1" x14ac:dyDescent="0.2">
      <c r="B18" s="35" t="s">
        <v>262</v>
      </c>
      <c r="C18" s="35" t="s">
        <v>78</v>
      </c>
      <c r="D18" s="37" t="s">
        <v>195</v>
      </c>
      <c r="E18" s="35" t="s">
        <v>72</v>
      </c>
      <c r="F18" s="35" t="s">
        <v>232</v>
      </c>
      <c r="G18" s="35"/>
      <c r="H18" s="35" t="s">
        <v>23</v>
      </c>
      <c r="I18" s="34">
        <v>0</v>
      </c>
      <c r="J18" s="35">
        <f t="shared" si="2"/>
        <v>710000000</v>
      </c>
      <c r="K18" s="35" t="s">
        <v>320</v>
      </c>
      <c r="L18" s="35" t="s">
        <v>157</v>
      </c>
      <c r="M18" s="35" t="s">
        <v>282</v>
      </c>
      <c r="N18" s="35" t="s">
        <v>22</v>
      </c>
      <c r="O18" s="34">
        <v>1</v>
      </c>
      <c r="P18" s="35" t="s">
        <v>153</v>
      </c>
      <c r="Q18" s="35">
        <v>15</v>
      </c>
      <c r="R18" s="38">
        <f>100/1.12</f>
        <v>89.285714285714278</v>
      </c>
      <c r="S18" s="33">
        <f t="shared" si="0"/>
        <v>1339.2857142857142</v>
      </c>
      <c r="T18" s="33">
        <f t="shared" si="1"/>
        <v>1500</v>
      </c>
      <c r="U18" s="33"/>
      <c r="V18" s="35">
        <v>2021</v>
      </c>
      <c r="W18" s="39"/>
      <c r="X18" s="63"/>
      <c r="Y18" s="63"/>
    </row>
    <row r="19" spans="2:25" s="36" customFormat="1" ht="65.099999999999994" customHeight="1" x14ac:dyDescent="0.2">
      <c r="B19" s="35" t="s">
        <v>60</v>
      </c>
      <c r="C19" s="35" t="s">
        <v>78</v>
      </c>
      <c r="D19" s="37" t="s">
        <v>194</v>
      </c>
      <c r="E19" s="35" t="s">
        <v>117</v>
      </c>
      <c r="F19" s="35" t="s">
        <v>118</v>
      </c>
      <c r="G19" s="35"/>
      <c r="H19" s="35" t="s">
        <v>23</v>
      </c>
      <c r="I19" s="34">
        <v>0</v>
      </c>
      <c r="J19" s="35">
        <f t="shared" si="2"/>
        <v>710000000</v>
      </c>
      <c r="K19" s="35" t="s">
        <v>320</v>
      </c>
      <c r="L19" s="35" t="s">
        <v>157</v>
      </c>
      <c r="M19" s="35" t="s">
        <v>282</v>
      </c>
      <c r="N19" s="35" t="s">
        <v>22</v>
      </c>
      <c r="O19" s="34">
        <v>1</v>
      </c>
      <c r="P19" s="35" t="s">
        <v>153</v>
      </c>
      <c r="Q19" s="35">
        <v>10</v>
      </c>
      <c r="R19" s="38">
        <f>975/1.12</f>
        <v>870.53571428571422</v>
      </c>
      <c r="S19" s="33">
        <f t="shared" si="0"/>
        <v>8705.3571428571413</v>
      </c>
      <c r="T19" s="33">
        <f t="shared" si="1"/>
        <v>9750</v>
      </c>
      <c r="U19" s="33"/>
      <c r="V19" s="35">
        <v>2021</v>
      </c>
      <c r="W19" s="39"/>
      <c r="X19" s="63"/>
      <c r="Y19" s="63"/>
    </row>
    <row r="20" spans="2:25" s="36" customFormat="1" ht="65.099999999999994" customHeight="1" x14ac:dyDescent="0.2">
      <c r="B20" s="35" t="s">
        <v>61</v>
      </c>
      <c r="C20" s="35" t="s">
        <v>78</v>
      </c>
      <c r="D20" s="37" t="s">
        <v>193</v>
      </c>
      <c r="E20" s="35" t="s">
        <v>80</v>
      </c>
      <c r="F20" s="35" t="s">
        <v>238</v>
      </c>
      <c r="G20" s="35"/>
      <c r="H20" s="35" t="s">
        <v>23</v>
      </c>
      <c r="I20" s="34">
        <v>0</v>
      </c>
      <c r="J20" s="35">
        <f t="shared" si="2"/>
        <v>710000000</v>
      </c>
      <c r="K20" s="35" t="s">
        <v>320</v>
      </c>
      <c r="L20" s="35" t="s">
        <v>157</v>
      </c>
      <c r="M20" s="35" t="s">
        <v>282</v>
      </c>
      <c r="N20" s="35" t="s">
        <v>22</v>
      </c>
      <c r="O20" s="34">
        <v>1</v>
      </c>
      <c r="P20" s="35" t="s">
        <v>153</v>
      </c>
      <c r="Q20" s="35">
        <v>100</v>
      </c>
      <c r="R20" s="38">
        <f>440/1.12</f>
        <v>392.85714285714283</v>
      </c>
      <c r="S20" s="33">
        <f t="shared" si="0"/>
        <v>39285.714285714283</v>
      </c>
      <c r="T20" s="33">
        <f t="shared" si="1"/>
        <v>44000</v>
      </c>
      <c r="U20" s="33"/>
      <c r="V20" s="35">
        <v>2021</v>
      </c>
      <c r="W20" s="39"/>
      <c r="X20" s="63"/>
      <c r="Y20" s="63"/>
    </row>
    <row r="21" spans="2:25" s="36" customFormat="1" ht="64.900000000000006" customHeight="1" x14ac:dyDescent="0.2">
      <c r="B21" s="35" t="s">
        <v>62</v>
      </c>
      <c r="C21" s="35" t="s">
        <v>78</v>
      </c>
      <c r="D21" s="37" t="s">
        <v>193</v>
      </c>
      <c r="E21" s="35" t="s">
        <v>80</v>
      </c>
      <c r="F21" s="35" t="s">
        <v>237</v>
      </c>
      <c r="G21" s="35"/>
      <c r="H21" s="35" t="s">
        <v>23</v>
      </c>
      <c r="I21" s="34">
        <v>0</v>
      </c>
      <c r="J21" s="35">
        <f t="shared" si="2"/>
        <v>710000000</v>
      </c>
      <c r="K21" s="35" t="s">
        <v>320</v>
      </c>
      <c r="L21" s="35" t="s">
        <v>157</v>
      </c>
      <c r="M21" s="35" t="s">
        <v>282</v>
      </c>
      <c r="N21" s="35" t="s">
        <v>22</v>
      </c>
      <c r="O21" s="34">
        <v>1</v>
      </c>
      <c r="P21" s="35" t="s">
        <v>153</v>
      </c>
      <c r="Q21" s="35">
        <v>100</v>
      </c>
      <c r="R21" s="38">
        <f>235/1.12</f>
        <v>209.82142857142856</v>
      </c>
      <c r="S21" s="33">
        <f t="shared" si="0"/>
        <v>20982.142857142855</v>
      </c>
      <c r="T21" s="33">
        <f t="shared" si="1"/>
        <v>23500</v>
      </c>
      <c r="U21" s="33"/>
      <c r="V21" s="35">
        <v>2021</v>
      </c>
      <c r="W21" s="39"/>
      <c r="X21" s="63"/>
      <c r="Y21" s="63"/>
    </row>
    <row r="22" spans="2:25" s="36" customFormat="1" ht="65.099999999999994" customHeight="1" x14ac:dyDescent="0.2">
      <c r="B22" s="35" t="s">
        <v>263</v>
      </c>
      <c r="C22" s="35" t="s">
        <v>78</v>
      </c>
      <c r="D22" s="37" t="s">
        <v>192</v>
      </c>
      <c r="E22" s="35" t="s">
        <v>115</v>
      </c>
      <c r="F22" s="35" t="s">
        <v>116</v>
      </c>
      <c r="G22" s="35"/>
      <c r="H22" s="35" t="s">
        <v>23</v>
      </c>
      <c r="I22" s="34">
        <v>0</v>
      </c>
      <c r="J22" s="35">
        <f t="shared" si="2"/>
        <v>710000000</v>
      </c>
      <c r="K22" s="35" t="s">
        <v>320</v>
      </c>
      <c r="L22" s="35" t="s">
        <v>157</v>
      </c>
      <c r="M22" s="35" t="s">
        <v>282</v>
      </c>
      <c r="N22" s="35" t="s">
        <v>22</v>
      </c>
      <c r="O22" s="34">
        <v>1</v>
      </c>
      <c r="P22" s="35" t="s">
        <v>153</v>
      </c>
      <c r="Q22" s="35">
        <v>150</v>
      </c>
      <c r="R22" s="38">
        <f>395/1.12</f>
        <v>352.67857142857139</v>
      </c>
      <c r="S22" s="33">
        <f t="shared" si="0"/>
        <v>52901.78571428571</v>
      </c>
      <c r="T22" s="33">
        <f t="shared" si="1"/>
        <v>59250</v>
      </c>
      <c r="U22" s="33"/>
      <c r="V22" s="35">
        <v>2021</v>
      </c>
      <c r="W22" s="39"/>
      <c r="X22" s="63"/>
      <c r="Y22" s="63"/>
    </row>
    <row r="23" spans="2:25" s="36" customFormat="1" ht="65.099999999999994" customHeight="1" x14ac:dyDescent="0.2">
      <c r="B23" s="35" t="s">
        <v>63</v>
      </c>
      <c r="C23" s="35" t="s">
        <v>78</v>
      </c>
      <c r="D23" s="37" t="s">
        <v>203</v>
      </c>
      <c r="E23" s="35" t="s">
        <v>126</v>
      </c>
      <c r="F23" s="35" t="s">
        <v>229</v>
      </c>
      <c r="G23" s="35"/>
      <c r="H23" s="35" t="s">
        <v>23</v>
      </c>
      <c r="I23" s="34">
        <v>1</v>
      </c>
      <c r="J23" s="35">
        <f t="shared" si="2"/>
        <v>710000000</v>
      </c>
      <c r="K23" s="35" t="s">
        <v>320</v>
      </c>
      <c r="L23" s="35" t="s">
        <v>157</v>
      </c>
      <c r="M23" s="35" t="s">
        <v>282</v>
      </c>
      <c r="N23" s="35" t="s">
        <v>22</v>
      </c>
      <c r="O23" s="34">
        <v>1</v>
      </c>
      <c r="P23" s="35" t="s">
        <v>153</v>
      </c>
      <c r="Q23" s="35">
        <v>3</v>
      </c>
      <c r="R23" s="38">
        <f>8000/1.12</f>
        <v>7142.8571428571422</v>
      </c>
      <c r="S23" s="33">
        <f t="shared" si="0"/>
        <v>21428.571428571428</v>
      </c>
      <c r="T23" s="33">
        <f t="shared" si="1"/>
        <v>24000</v>
      </c>
      <c r="U23" s="33"/>
      <c r="V23" s="35">
        <v>2021</v>
      </c>
      <c r="W23" s="39"/>
      <c r="X23" s="63"/>
      <c r="Y23" s="63"/>
    </row>
    <row r="24" spans="2:25" s="36" customFormat="1" ht="65.099999999999994" customHeight="1" x14ac:dyDescent="0.2">
      <c r="B24" s="35" t="s">
        <v>264</v>
      </c>
      <c r="C24" s="35" t="s">
        <v>78</v>
      </c>
      <c r="D24" s="37" t="s">
        <v>191</v>
      </c>
      <c r="E24" s="35" t="s">
        <v>71</v>
      </c>
      <c r="F24" s="35" t="s">
        <v>242</v>
      </c>
      <c r="G24" s="35"/>
      <c r="H24" s="35" t="s">
        <v>23</v>
      </c>
      <c r="I24" s="34">
        <v>0</v>
      </c>
      <c r="J24" s="35">
        <f t="shared" si="2"/>
        <v>710000000</v>
      </c>
      <c r="K24" s="35" t="s">
        <v>320</v>
      </c>
      <c r="L24" s="35" t="s">
        <v>157</v>
      </c>
      <c r="M24" s="35" t="s">
        <v>282</v>
      </c>
      <c r="N24" s="35" t="s">
        <v>22</v>
      </c>
      <c r="O24" s="34">
        <v>1</v>
      </c>
      <c r="P24" s="35" t="s">
        <v>153</v>
      </c>
      <c r="Q24" s="35">
        <v>49</v>
      </c>
      <c r="R24" s="38">
        <f>55/1.12</f>
        <v>49.107142857142854</v>
      </c>
      <c r="S24" s="33">
        <f t="shared" si="0"/>
        <v>2406.25</v>
      </c>
      <c r="T24" s="33">
        <f t="shared" si="1"/>
        <v>2695.0000000000005</v>
      </c>
      <c r="U24" s="33"/>
      <c r="V24" s="35">
        <v>2021</v>
      </c>
      <c r="W24" s="39"/>
      <c r="X24" s="63"/>
      <c r="Y24" s="63"/>
    </row>
    <row r="25" spans="2:25" s="36" customFormat="1" ht="65.099999999999994" customHeight="1" x14ac:dyDescent="0.2">
      <c r="B25" s="35" t="s">
        <v>64</v>
      </c>
      <c r="C25" s="35" t="s">
        <v>78</v>
      </c>
      <c r="D25" s="37" t="s">
        <v>191</v>
      </c>
      <c r="E25" s="35" t="s">
        <v>71</v>
      </c>
      <c r="F25" s="35" t="s">
        <v>243</v>
      </c>
      <c r="G25" s="35"/>
      <c r="H25" s="35" t="s">
        <v>23</v>
      </c>
      <c r="I25" s="34">
        <v>0</v>
      </c>
      <c r="J25" s="35">
        <f t="shared" si="2"/>
        <v>710000000</v>
      </c>
      <c r="K25" s="35" t="s">
        <v>320</v>
      </c>
      <c r="L25" s="35" t="s">
        <v>157</v>
      </c>
      <c r="M25" s="35" t="s">
        <v>282</v>
      </c>
      <c r="N25" s="35" t="s">
        <v>22</v>
      </c>
      <c r="O25" s="34">
        <v>1</v>
      </c>
      <c r="P25" s="35" t="s">
        <v>153</v>
      </c>
      <c r="Q25" s="35">
        <v>100</v>
      </c>
      <c r="R25" s="38">
        <f>50/1.12</f>
        <v>44.642857142857139</v>
      </c>
      <c r="S25" s="33">
        <f t="shared" si="0"/>
        <v>4464.2857142857138</v>
      </c>
      <c r="T25" s="33">
        <f t="shared" si="1"/>
        <v>5000</v>
      </c>
      <c r="U25" s="33"/>
      <c r="V25" s="35">
        <v>2021</v>
      </c>
      <c r="W25" s="39"/>
      <c r="X25" s="63"/>
      <c r="Y25" s="63"/>
    </row>
    <row r="26" spans="2:25" s="36" customFormat="1" ht="65.099999999999994" customHeight="1" x14ac:dyDescent="0.2">
      <c r="B26" s="35" t="s">
        <v>65</v>
      </c>
      <c r="C26" s="35" t="s">
        <v>78</v>
      </c>
      <c r="D26" s="37" t="s">
        <v>190</v>
      </c>
      <c r="E26" s="35" t="s">
        <v>66</v>
      </c>
      <c r="F26" s="35" t="s">
        <v>83</v>
      </c>
      <c r="G26" s="35"/>
      <c r="H26" s="35" t="str">
        <f t="shared" ref="H26:I52" si="3">H25</f>
        <v>ОИ</v>
      </c>
      <c r="I26" s="34">
        <f t="shared" ref="I26:I50" si="4">I25</f>
        <v>0</v>
      </c>
      <c r="J26" s="35">
        <f t="shared" si="2"/>
        <v>710000000</v>
      </c>
      <c r="K26" s="35" t="s">
        <v>320</v>
      </c>
      <c r="L26" s="35" t="s">
        <v>157</v>
      </c>
      <c r="M26" s="35" t="s">
        <v>282</v>
      </c>
      <c r="N26" s="35" t="str">
        <f t="shared" ref="N26:N41" si="5">N25</f>
        <v>DDP</v>
      </c>
      <c r="O26" s="34">
        <f t="shared" ref="O26:O41" si="6">O25</f>
        <v>1</v>
      </c>
      <c r="P26" s="35" t="s">
        <v>155</v>
      </c>
      <c r="Q26" s="35">
        <v>100</v>
      </c>
      <c r="R26" s="38">
        <f>260/1.12</f>
        <v>232.14285714285711</v>
      </c>
      <c r="S26" s="33">
        <f t="shared" si="0"/>
        <v>23214.28571428571</v>
      </c>
      <c r="T26" s="33">
        <f t="shared" si="1"/>
        <v>25999.999999999996</v>
      </c>
      <c r="U26" s="33"/>
      <c r="V26" s="35">
        <v>2021</v>
      </c>
      <c r="W26" s="39"/>
      <c r="X26" s="63"/>
      <c r="Y26" s="63"/>
    </row>
    <row r="27" spans="2:25" s="36" customFormat="1" ht="65.099999999999994" customHeight="1" x14ac:dyDescent="0.2">
      <c r="B27" s="35" t="s">
        <v>265</v>
      </c>
      <c r="C27" s="35" t="s">
        <v>78</v>
      </c>
      <c r="D27" s="37" t="s">
        <v>189</v>
      </c>
      <c r="E27" s="35" t="s">
        <v>82</v>
      </c>
      <c r="F27" s="35" t="s">
        <v>84</v>
      </c>
      <c r="G27" s="35"/>
      <c r="H27" s="35" t="str">
        <f t="shared" si="3"/>
        <v>ОИ</v>
      </c>
      <c r="I27" s="34">
        <f t="shared" si="4"/>
        <v>0</v>
      </c>
      <c r="J27" s="35">
        <f t="shared" si="2"/>
        <v>710000000</v>
      </c>
      <c r="K27" s="35" t="s">
        <v>320</v>
      </c>
      <c r="L27" s="35" t="s">
        <v>157</v>
      </c>
      <c r="M27" s="35" t="s">
        <v>282</v>
      </c>
      <c r="N27" s="35" t="str">
        <f t="shared" si="5"/>
        <v>DDP</v>
      </c>
      <c r="O27" s="34">
        <f t="shared" si="6"/>
        <v>1</v>
      </c>
      <c r="P27" s="35" t="s">
        <v>153</v>
      </c>
      <c r="Q27" s="35">
        <v>20</v>
      </c>
      <c r="R27" s="38">
        <f>335/1.12</f>
        <v>299.10714285714283</v>
      </c>
      <c r="S27" s="33">
        <f t="shared" si="0"/>
        <v>5982.1428571428569</v>
      </c>
      <c r="T27" s="33">
        <f t="shared" si="1"/>
        <v>6700</v>
      </c>
      <c r="U27" s="33"/>
      <c r="V27" s="35">
        <v>2021</v>
      </c>
      <c r="W27" s="39"/>
      <c r="X27" s="63"/>
      <c r="Y27" s="63"/>
    </row>
    <row r="28" spans="2:25" s="36" customFormat="1" ht="65.099999999999994" customHeight="1" x14ac:dyDescent="0.2">
      <c r="B28" s="35" t="s">
        <v>76</v>
      </c>
      <c r="C28" s="35" t="s">
        <v>78</v>
      </c>
      <c r="D28" s="37" t="s">
        <v>187</v>
      </c>
      <c r="E28" s="35" t="s">
        <v>95</v>
      </c>
      <c r="F28" s="35" t="s">
        <v>240</v>
      </c>
      <c r="G28" s="35"/>
      <c r="H28" s="35" t="str">
        <f t="shared" si="3"/>
        <v>ОИ</v>
      </c>
      <c r="I28" s="34">
        <f t="shared" si="4"/>
        <v>0</v>
      </c>
      <c r="J28" s="35">
        <f t="shared" si="2"/>
        <v>710000000</v>
      </c>
      <c r="K28" s="35" t="s">
        <v>320</v>
      </c>
      <c r="L28" s="35" t="s">
        <v>157</v>
      </c>
      <c r="M28" s="35" t="s">
        <v>282</v>
      </c>
      <c r="N28" s="35" t="str">
        <f t="shared" si="5"/>
        <v>DDP</v>
      </c>
      <c r="O28" s="34">
        <f t="shared" si="6"/>
        <v>1</v>
      </c>
      <c r="P28" s="35" t="s">
        <v>153</v>
      </c>
      <c r="Q28" s="35">
        <v>7</v>
      </c>
      <c r="R28" s="38">
        <f>455/1.12</f>
        <v>406.24999999999994</v>
      </c>
      <c r="S28" s="33">
        <f t="shared" si="0"/>
        <v>2843.7499999999995</v>
      </c>
      <c r="T28" s="33">
        <f t="shared" si="1"/>
        <v>3185</v>
      </c>
      <c r="U28" s="33"/>
      <c r="V28" s="35">
        <v>2021</v>
      </c>
      <c r="W28" s="39"/>
      <c r="X28" s="63"/>
      <c r="Y28" s="63"/>
    </row>
    <row r="29" spans="2:25" s="36" customFormat="1" ht="65.099999999999994" customHeight="1" x14ac:dyDescent="0.2">
      <c r="B29" s="35" t="s">
        <v>79</v>
      </c>
      <c r="C29" s="35" t="s">
        <v>78</v>
      </c>
      <c r="D29" s="37" t="s">
        <v>186</v>
      </c>
      <c r="E29" s="35" t="s">
        <v>87</v>
      </c>
      <c r="F29" s="35" t="s">
        <v>239</v>
      </c>
      <c r="G29" s="35"/>
      <c r="H29" s="35" t="str">
        <f t="shared" si="3"/>
        <v>ОИ</v>
      </c>
      <c r="I29" s="34">
        <f t="shared" si="4"/>
        <v>0</v>
      </c>
      <c r="J29" s="35">
        <f t="shared" si="2"/>
        <v>710000000</v>
      </c>
      <c r="K29" s="35" t="s">
        <v>320</v>
      </c>
      <c r="L29" s="35" t="s">
        <v>157</v>
      </c>
      <c r="M29" s="35" t="s">
        <v>282</v>
      </c>
      <c r="N29" s="35" t="str">
        <f t="shared" si="5"/>
        <v>DDP</v>
      </c>
      <c r="O29" s="34">
        <f t="shared" si="6"/>
        <v>1</v>
      </c>
      <c r="P29" s="35" t="s">
        <v>154</v>
      </c>
      <c r="Q29" s="35">
        <v>30</v>
      </c>
      <c r="R29" s="38">
        <f>185/1.12</f>
        <v>165.17857142857142</v>
      </c>
      <c r="S29" s="33">
        <f t="shared" si="0"/>
        <v>4955.3571428571422</v>
      </c>
      <c r="T29" s="33">
        <f t="shared" si="1"/>
        <v>5550</v>
      </c>
      <c r="U29" s="33"/>
      <c r="V29" s="35">
        <v>2021</v>
      </c>
      <c r="W29" s="39"/>
      <c r="X29" s="63"/>
      <c r="Y29" s="63"/>
    </row>
    <row r="30" spans="2:25" s="36" customFormat="1" ht="65.099999999999994" customHeight="1" x14ac:dyDescent="0.2">
      <c r="B30" s="35" t="s">
        <v>266</v>
      </c>
      <c r="C30" s="35" t="s">
        <v>78</v>
      </c>
      <c r="D30" s="37" t="s">
        <v>186</v>
      </c>
      <c r="E30" s="35" t="s">
        <v>87</v>
      </c>
      <c r="F30" s="35" t="s">
        <v>88</v>
      </c>
      <c r="G30" s="35"/>
      <c r="H30" s="35" t="str">
        <f t="shared" si="3"/>
        <v>ОИ</v>
      </c>
      <c r="I30" s="34">
        <f t="shared" si="4"/>
        <v>0</v>
      </c>
      <c r="J30" s="35">
        <f t="shared" si="2"/>
        <v>710000000</v>
      </c>
      <c r="K30" s="35" t="s">
        <v>320</v>
      </c>
      <c r="L30" s="35" t="s">
        <v>157</v>
      </c>
      <c r="M30" s="35" t="s">
        <v>282</v>
      </c>
      <c r="N30" s="35" t="str">
        <f t="shared" si="5"/>
        <v>DDP</v>
      </c>
      <c r="O30" s="34">
        <f t="shared" si="6"/>
        <v>1</v>
      </c>
      <c r="P30" s="35" t="s">
        <v>154</v>
      </c>
      <c r="Q30" s="35">
        <v>10</v>
      </c>
      <c r="R30" s="38">
        <f>215/1.12</f>
        <v>191.96428571428569</v>
      </c>
      <c r="S30" s="33">
        <f t="shared" si="0"/>
        <v>1919.6428571428569</v>
      </c>
      <c r="T30" s="33">
        <f t="shared" si="1"/>
        <v>2150</v>
      </c>
      <c r="U30" s="33"/>
      <c r="V30" s="35">
        <v>2021</v>
      </c>
      <c r="W30" s="39"/>
      <c r="X30" s="63"/>
      <c r="Y30" s="63"/>
    </row>
    <row r="31" spans="2:25" s="36" customFormat="1" ht="65.099999999999994" customHeight="1" x14ac:dyDescent="0.2">
      <c r="B31" s="35" t="s">
        <v>81</v>
      </c>
      <c r="C31" s="35" t="s">
        <v>78</v>
      </c>
      <c r="D31" s="37" t="s">
        <v>185</v>
      </c>
      <c r="E31" s="35" t="s">
        <v>89</v>
      </c>
      <c r="F31" s="35" t="s">
        <v>236</v>
      </c>
      <c r="G31" s="35"/>
      <c r="H31" s="35" t="str">
        <f t="shared" si="3"/>
        <v>ОИ</v>
      </c>
      <c r="I31" s="34">
        <f t="shared" si="4"/>
        <v>0</v>
      </c>
      <c r="J31" s="35">
        <f t="shared" si="2"/>
        <v>710000000</v>
      </c>
      <c r="K31" s="35" t="s">
        <v>320</v>
      </c>
      <c r="L31" s="35" t="s">
        <v>157</v>
      </c>
      <c r="M31" s="35" t="s">
        <v>282</v>
      </c>
      <c r="N31" s="35" t="str">
        <f t="shared" si="5"/>
        <v>DDP</v>
      </c>
      <c r="O31" s="34">
        <f t="shared" si="6"/>
        <v>1</v>
      </c>
      <c r="P31" s="35" t="s">
        <v>153</v>
      </c>
      <c r="Q31" s="35">
        <v>30</v>
      </c>
      <c r="R31" s="38">
        <f>15/1.12</f>
        <v>13.392857142857142</v>
      </c>
      <c r="S31" s="33">
        <f t="shared" si="0"/>
        <v>401.78571428571428</v>
      </c>
      <c r="T31" s="33">
        <f t="shared" si="1"/>
        <v>450.00000000000006</v>
      </c>
      <c r="U31" s="33"/>
      <c r="V31" s="35">
        <v>2021</v>
      </c>
      <c r="W31" s="39"/>
      <c r="X31" s="63"/>
      <c r="Y31" s="63"/>
    </row>
    <row r="32" spans="2:25" s="36" customFormat="1" ht="65.099999999999994" customHeight="1" x14ac:dyDescent="0.2">
      <c r="B32" s="35" t="s">
        <v>101</v>
      </c>
      <c r="C32" s="35" t="s">
        <v>78</v>
      </c>
      <c r="D32" s="37" t="s">
        <v>185</v>
      </c>
      <c r="E32" s="35" t="s">
        <v>89</v>
      </c>
      <c r="F32" s="35" t="s">
        <v>90</v>
      </c>
      <c r="G32" s="35"/>
      <c r="H32" s="35" t="str">
        <f t="shared" si="3"/>
        <v>ОИ</v>
      </c>
      <c r="I32" s="34">
        <f t="shared" si="4"/>
        <v>0</v>
      </c>
      <c r="J32" s="35">
        <f t="shared" si="2"/>
        <v>710000000</v>
      </c>
      <c r="K32" s="35" t="s">
        <v>320</v>
      </c>
      <c r="L32" s="35" t="s">
        <v>157</v>
      </c>
      <c r="M32" s="35" t="s">
        <v>282</v>
      </c>
      <c r="N32" s="35" t="str">
        <f t="shared" si="5"/>
        <v>DDP</v>
      </c>
      <c r="O32" s="34">
        <f t="shared" si="6"/>
        <v>1</v>
      </c>
      <c r="P32" s="35" t="s">
        <v>153</v>
      </c>
      <c r="Q32" s="35">
        <v>100</v>
      </c>
      <c r="R32" s="38">
        <f>60/1.12</f>
        <v>53.571428571428569</v>
      </c>
      <c r="S32" s="33">
        <f t="shared" si="0"/>
        <v>5357.1428571428569</v>
      </c>
      <c r="T32" s="33">
        <f t="shared" si="1"/>
        <v>6000</v>
      </c>
      <c r="U32" s="33"/>
      <c r="V32" s="35">
        <v>2021</v>
      </c>
      <c r="W32" s="39"/>
      <c r="X32" s="63"/>
      <c r="Y32" s="63"/>
    </row>
    <row r="33" spans="2:25" s="36" customFormat="1" ht="65.099999999999994" customHeight="1" x14ac:dyDescent="0.2">
      <c r="B33" s="35" t="s">
        <v>102</v>
      </c>
      <c r="C33" s="35" t="s">
        <v>78</v>
      </c>
      <c r="D33" s="37" t="s">
        <v>184</v>
      </c>
      <c r="E33" s="35" t="s">
        <v>91</v>
      </c>
      <c r="F33" s="35" t="s">
        <v>92</v>
      </c>
      <c r="G33" s="35"/>
      <c r="H33" s="35" t="str">
        <f t="shared" si="3"/>
        <v>ОИ</v>
      </c>
      <c r="I33" s="34">
        <f t="shared" si="4"/>
        <v>0</v>
      </c>
      <c r="J33" s="35">
        <f t="shared" si="2"/>
        <v>710000000</v>
      </c>
      <c r="K33" s="35" t="s">
        <v>320</v>
      </c>
      <c r="L33" s="35" t="s">
        <v>157</v>
      </c>
      <c r="M33" s="35" t="s">
        <v>282</v>
      </c>
      <c r="N33" s="35" t="str">
        <f t="shared" si="5"/>
        <v>DDP</v>
      </c>
      <c r="O33" s="34">
        <f t="shared" si="6"/>
        <v>1</v>
      </c>
      <c r="P33" s="35" t="s">
        <v>153</v>
      </c>
      <c r="Q33" s="35">
        <v>16</v>
      </c>
      <c r="R33" s="38">
        <f>195/1.12</f>
        <v>174.10714285714283</v>
      </c>
      <c r="S33" s="33">
        <f t="shared" si="0"/>
        <v>2785.7142857142853</v>
      </c>
      <c r="T33" s="33">
        <f t="shared" si="1"/>
        <v>3120</v>
      </c>
      <c r="U33" s="33"/>
      <c r="V33" s="35">
        <v>2021</v>
      </c>
      <c r="W33" s="39"/>
      <c r="X33" s="63"/>
      <c r="Y33" s="63"/>
    </row>
    <row r="34" spans="2:25" s="36" customFormat="1" ht="65.099999999999994" customHeight="1" x14ac:dyDescent="0.2">
      <c r="B34" s="35" t="s">
        <v>267</v>
      </c>
      <c r="C34" s="35" t="s">
        <v>78</v>
      </c>
      <c r="D34" s="37" t="s">
        <v>183</v>
      </c>
      <c r="E34" s="35" t="s">
        <v>93</v>
      </c>
      <c r="F34" s="35" t="s">
        <v>94</v>
      </c>
      <c r="G34" s="35"/>
      <c r="H34" s="35" t="str">
        <f t="shared" si="3"/>
        <v>ОИ</v>
      </c>
      <c r="I34" s="34">
        <f t="shared" si="4"/>
        <v>0</v>
      </c>
      <c r="J34" s="35">
        <f t="shared" si="2"/>
        <v>710000000</v>
      </c>
      <c r="K34" s="35" t="s">
        <v>320</v>
      </c>
      <c r="L34" s="35" t="s">
        <v>157</v>
      </c>
      <c r="M34" s="35" t="s">
        <v>282</v>
      </c>
      <c r="N34" s="35" t="str">
        <f t="shared" si="5"/>
        <v>DDP</v>
      </c>
      <c r="O34" s="34">
        <f t="shared" si="6"/>
        <v>1</v>
      </c>
      <c r="P34" s="35" t="s">
        <v>153</v>
      </c>
      <c r="Q34" s="35">
        <v>10</v>
      </c>
      <c r="R34" s="38">
        <f>660/1.12</f>
        <v>589.28571428571422</v>
      </c>
      <c r="S34" s="33">
        <f t="shared" si="0"/>
        <v>5892.8571428571422</v>
      </c>
      <c r="T34" s="33">
        <f t="shared" si="1"/>
        <v>6600</v>
      </c>
      <c r="U34" s="33"/>
      <c r="V34" s="35">
        <v>2021</v>
      </c>
      <c r="W34" s="39"/>
      <c r="X34" s="63"/>
      <c r="Y34" s="63"/>
    </row>
    <row r="35" spans="2:25" s="36" customFormat="1" ht="65.099999999999994" customHeight="1" x14ac:dyDescent="0.2">
      <c r="B35" s="35" t="s">
        <v>104</v>
      </c>
      <c r="C35" s="35" t="s">
        <v>78</v>
      </c>
      <c r="D35" s="37" t="s">
        <v>182</v>
      </c>
      <c r="E35" s="35" t="s">
        <v>96</v>
      </c>
      <c r="F35" s="35" t="s">
        <v>97</v>
      </c>
      <c r="G35" s="35"/>
      <c r="H35" s="35" t="str">
        <f t="shared" si="3"/>
        <v>ОИ</v>
      </c>
      <c r="I35" s="34">
        <f t="shared" si="4"/>
        <v>0</v>
      </c>
      <c r="J35" s="35">
        <f t="shared" si="2"/>
        <v>710000000</v>
      </c>
      <c r="K35" s="35" t="s">
        <v>320</v>
      </c>
      <c r="L35" s="35" t="s">
        <v>157</v>
      </c>
      <c r="M35" s="35" t="s">
        <v>282</v>
      </c>
      <c r="N35" s="35" t="str">
        <f t="shared" si="5"/>
        <v>DDP</v>
      </c>
      <c r="O35" s="34">
        <f t="shared" si="6"/>
        <v>1</v>
      </c>
      <c r="P35" s="35" t="s">
        <v>153</v>
      </c>
      <c r="Q35" s="35">
        <v>5</v>
      </c>
      <c r="R35" s="38">
        <f>1065/1.12</f>
        <v>950.892857142857</v>
      </c>
      <c r="S35" s="33">
        <f t="shared" si="0"/>
        <v>4754.4642857142853</v>
      </c>
      <c r="T35" s="33">
        <f t="shared" si="1"/>
        <v>5325</v>
      </c>
      <c r="U35" s="33"/>
      <c r="V35" s="35">
        <v>2021</v>
      </c>
      <c r="W35" s="39"/>
      <c r="X35" s="63"/>
      <c r="Y35" s="63"/>
    </row>
    <row r="36" spans="2:25" s="36" customFormat="1" ht="65.099999999999994" customHeight="1" x14ac:dyDescent="0.2">
      <c r="B36" s="35" t="s">
        <v>105</v>
      </c>
      <c r="C36" s="35" t="s">
        <v>78</v>
      </c>
      <c r="D36" s="37" t="s">
        <v>181</v>
      </c>
      <c r="E36" s="35" t="s">
        <v>98</v>
      </c>
      <c r="F36" s="35" t="s">
        <v>97</v>
      </c>
      <c r="G36" s="35"/>
      <c r="H36" s="35" t="str">
        <f t="shared" si="3"/>
        <v>ОИ</v>
      </c>
      <c r="I36" s="34">
        <f t="shared" si="4"/>
        <v>0</v>
      </c>
      <c r="J36" s="35">
        <f t="shared" si="2"/>
        <v>710000000</v>
      </c>
      <c r="K36" s="35" t="s">
        <v>320</v>
      </c>
      <c r="L36" s="35" t="s">
        <v>157</v>
      </c>
      <c r="M36" s="35" t="s">
        <v>282</v>
      </c>
      <c r="N36" s="35" t="str">
        <f t="shared" si="5"/>
        <v>DDP</v>
      </c>
      <c r="O36" s="34">
        <f t="shared" si="6"/>
        <v>1</v>
      </c>
      <c r="P36" s="35" t="s">
        <v>153</v>
      </c>
      <c r="Q36" s="35">
        <v>20</v>
      </c>
      <c r="R36" s="38">
        <f>350/1.12</f>
        <v>312.49999999999994</v>
      </c>
      <c r="S36" s="33">
        <f t="shared" si="0"/>
        <v>6249.9999999999991</v>
      </c>
      <c r="T36" s="33">
        <f t="shared" si="1"/>
        <v>7000</v>
      </c>
      <c r="U36" s="33"/>
      <c r="V36" s="35">
        <v>2021</v>
      </c>
      <c r="W36" s="39"/>
      <c r="X36" s="63"/>
      <c r="Y36" s="63"/>
    </row>
    <row r="37" spans="2:25" s="36" customFormat="1" ht="67.150000000000006" customHeight="1" x14ac:dyDescent="0.2">
      <c r="B37" s="35" t="s">
        <v>103</v>
      </c>
      <c r="C37" s="35" t="s">
        <v>78</v>
      </c>
      <c r="D37" s="37" t="s">
        <v>179</v>
      </c>
      <c r="E37" s="35" t="s">
        <v>99</v>
      </c>
      <c r="F37" s="35" t="s">
        <v>100</v>
      </c>
      <c r="G37" s="35"/>
      <c r="H37" s="35" t="str">
        <f t="shared" si="3"/>
        <v>ОИ</v>
      </c>
      <c r="I37" s="34">
        <f t="shared" si="4"/>
        <v>0</v>
      </c>
      <c r="J37" s="35">
        <f t="shared" si="2"/>
        <v>710000000</v>
      </c>
      <c r="K37" s="35" t="s">
        <v>320</v>
      </c>
      <c r="L37" s="35" t="s">
        <v>157</v>
      </c>
      <c r="M37" s="35" t="s">
        <v>282</v>
      </c>
      <c r="N37" s="35" t="str">
        <f t="shared" si="5"/>
        <v>DDP</v>
      </c>
      <c r="O37" s="34">
        <f t="shared" si="6"/>
        <v>1</v>
      </c>
      <c r="P37" s="35" t="s">
        <v>153</v>
      </c>
      <c r="Q37" s="35">
        <v>20</v>
      </c>
      <c r="R37" s="38">
        <f>200/1.12</f>
        <v>178.57142857142856</v>
      </c>
      <c r="S37" s="33">
        <f t="shared" si="0"/>
        <v>3571.4285714285711</v>
      </c>
      <c r="T37" s="33">
        <f t="shared" si="1"/>
        <v>4000</v>
      </c>
      <c r="U37" s="33"/>
      <c r="V37" s="35">
        <v>2021</v>
      </c>
      <c r="W37" s="39"/>
      <c r="X37" s="63"/>
      <c r="Y37" s="63"/>
    </row>
    <row r="38" spans="2:25" s="36" customFormat="1" ht="65.099999999999994" customHeight="1" x14ac:dyDescent="0.2">
      <c r="B38" s="35" t="s">
        <v>106</v>
      </c>
      <c r="C38" s="35" t="s">
        <v>78</v>
      </c>
      <c r="D38" s="37" t="s">
        <v>178</v>
      </c>
      <c r="E38" s="35" t="s">
        <v>122</v>
      </c>
      <c r="F38" s="35" t="s">
        <v>121</v>
      </c>
      <c r="G38" s="35"/>
      <c r="H38" s="35" t="str">
        <f t="shared" si="3"/>
        <v>ОИ</v>
      </c>
      <c r="I38" s="34">
        <f t="shared" si="4"/>
        <v>0</v>
      </c>
      <c r="J38" s="35">
        <f t="shared" si="2"/>
        <v>710000000</v>
      </c>
      <c r="K38" s="35" t="s">
        <v>320</v>
      </c>
      <c r="L38" s="35" t="s">
        <v>157</v>
      </c>
      <c r="M38" s="35" t="s">
        <v>282</v>
      </c>
      <c r="N38" s="35" t="str">
        <f t="shared" si="5"/>
        <v>DDP</v>
      </c>
      <c r="O38" s="34">
        <f t="shared" si="6"/>
        <v>1</v>
      </c>
      <c r="P38" s="35" t="s">
        <v>153</v>
      </c>
      <c r="Q38" s="35">
        <v>330</v>
      </c>
      <c r="R38" s="38">
        <f>595/1.12</f>
        <v>531.25</v>
      </c>
      <c r="S38" s="33">
        <f t="shared" si="0"/>
        <v>175312.5</v>
      </c>
      <c r="T38" s="33">
        <f t="shared" si="1"/>
        <v>196350.00000000003</v>
      </c>
      <c r="U38" s="33"/>
      <c r="V38" s="35">
        <v>2021</v>
      </c>
      <c r="W38" s="39"/>
      <c r="X38" s="63"/>
      <c r="Y38" s="63"/>
    </row>
    <row r="39" spans="2:25" s="36" customFormat="1" ht="65.099999999999994" customHeight="1" x14ac:dyDescent="0.2">
      <c r="B39" s="35" t="s">
        <v>107</v>
      </c>
      <c r="C39" s="35" t="s">
        <v>78</v>
      </c>
      <c r="D39" s="37" t="s">
        <v>177</v>
      </c>
      <c r="E39" s="35" t="s">
        <v>123</v>
      </c>
      <c r="F39" s="35" t="s">
        <v>241</v>
      </c>
      <c r="G39" s="35"/>
      <c r="H39" s="35" t="str">
        <f t="shared" si="3"/>
        <v>ОИ</v>
      </c>
      <c r="I39" s="34">
        <f t="shared" si="4"/>
        <v>0</v>
      </c>
      <c r="J39" s="35">
        <f t="shared" si="2"/>
        <v>710000000</v>
      </c>
      <c r="K39" s="35" t="s">
        <v>320</v>
      </c>
      <c r="L39" s="35" t="s">
        <v>157</v>
      </c>
      <c r="M39" s="35" t="s">
        <v>282</v>
      </c>
      <c r="N39" s="35" t="str">
        <f t="shared" si="5"/>
        <v>DDP</v>
      </c>
      <c r="O39" s="34">
        <f t="shared" si="6"/>
        <v>1</v>
      </c>
      <c r="P39" s="35" t="s">
        <v>153</v>
      </c>
      <c r="Q39" s="35">
        <v>100</v>
      </c>
      <c r="R39" s="38">
        <f>35/1.12</f>
        <v>31.249999999999996</v>
      </c>
      <c r="S39" s="33">
        <f t="shared" si="0"/>
        <v>3124.9999999999995</v>
      </c>
      <c r="T39" s="33">
        <f t="shared" si="1"/>
        <v>3500</v>
      </c>
      <c r="U39" s="33"/>
      <c r="V39" s="35">
        <v>2021</v>
      </c>
      <c r="W39" s="39"/>
      <c r="X39" s="63"/>
      <c r="Y39" s="63"/>
    </row>
    <row r="40" spans="2:25" s="36" customFormat="1" ht="65.099999999999994" customHeight="1" x14ac:dyDescent="0.2">
      <c r="B40" s="35" t="s">
        <v>108</v>
      </c>
      <c r="C40" s="35" t="s">
        <v>78</v>
      </c>
      <c r="D40" s="37" t="s">
        <v>177</v>
      </c>
      <c r="E40" s="35" t="s">
        <v>123</v>
      </c>
      <c r="F40" s="35" t="s">
        <v>241</v>
      </c>
      <c r="G40" s="35"/>
      <c r="H40" s="35" t="str">
        <f t="shared" si="3"/>
        <v>ОИ</v>
      </c>
      <c r="I40" s="34">
        <f t="shared" si="4"/>
        <v>0</v>
      </c>
      <c r="J40" s="35">
        <f t="shared" si="2"/>
        <v>710000000</v>
      </c>
      <c r="K40" s="35" t="s">
        <v>320</v>
      </c>
      <c r="L40" s="35" t="s">
        <v>157</v>
      </c>
      <c r="M40" s="35" t="s">
        <v>282</v>
      </c>
      <c r="N40" s="35" t="str">
        <f t="shared" si="5"/>
        <v>DDP</v>
      </c>
      <c r="O40" s="34">
        <f t="shared" si="6"/>
        <v>1</v>
      </c>
      <c r="P40" s="35" t="s">
        <v>153</v>
      </c>
      <c r="Q40" s="35">
        <v>100</v>
      </c>
      <c r="R40" s="38">
        <f>48/1.12</f>
        <v>42.857142857142854</v>
      </c>
      <c r="S40" s="33">
        <f t="shared" si="0"/>
        <v>4285.7142857142853</v>
      </c>
      <c r="T40" s="33">
        <f t="shared" si="1"/>
        <v>4800</v>
      </c>
      <c r="U40" s="33"/>
      <c r="V40" s="35">
        <v>2021</v>
      </c>
      <c r="W40" s="39"/>
      <c r="X40" s="63"/>
      <c r="Y40" s="63"/>
    </row>
    <row r="41" spans="2:25" s="36" customFormat="1" ht="65.099999999999994" customHeight="1" x14ac:dyDescent="0.2">
      <c r="B41" s="35" t="s">
        <v>109</v>
      </c>
      <c r="C41" s="35" t="s">
        <v>78</v>
      </c>
      <c r="D41" s="37" t="s">
        <v>128</v>
      </c>
      <c r="E41" s="35" t="s">
        <v>127</v>
      </c>
      <c r="F41" s="35" t="s">
        <v>127</v>
      </c>
      <c r="G41" s="35"/>
      <c r="H41" s="35" t="str">
        <f t="shared" si="3"/>
        <v>ОИ</v>
      </c>
      <c r="I41" s="34">
        <f t="shared" si="4"/>
        <v>0</v>
      </c>
      <c r="J41" s="35">
        <f t="shared" si="2"/>
        <v>710000000</v>
      </c>
      <c r="K41" s="35" t="s">
        <v>320</v>
      </c>
      <c r="L41" s="35" t="s">
        <v>157</v>
      </c>
      <c r="M41" s="35" t="s">
        <v>282</v>
      </c>
      <c r="N41" s="35" t="str">
        <f t="shared" si="5"/>
        <v>DDP</v>
      </c>
      <c r="O41" s="34">
        <f t="shared" si="6"/>
        <v>1</v>
      </c>
      <c r="P41" s="35" t="s">
        <v>153</v>
      </c>
      <c r="Q41" s="35">
        <v>5</v>
      </c>
      <c r="R41" s="38">
        <f>405/1.12</f>
        <v>361.60714285714283</v>
      </c>
      <c r="S41" s="33">
        <f t="shared" si="0"/>
        <v>1808.0357142857142</v>
      </c>
      <c r="T41" s="33">
        <f t="shared" si="1"/>
        <v>2025.0000000000002</v>
      </c>
      <c r="U41" s="33"/>
      <c r="V41" s="35">
        <v>2021</v>
      </c>
      <c r="W41" s="39"/>
      <c r="X41" s="63"/>
      <c r="Y41" s="63"/>
    </row>
    <row r="42" spans="2:25" s="36" customFormat="1" ht="65.099999999999994" customHeight="1" x14ac:dyDescent="0.2">
      <c r="B42" s="35" t="s">
        <v>110</v>
      </c>
      <c r="C42" s="35" t="s">
        <v>78</v>
      </c>
      <c r="D42" s="37" t="s">
        <v>188</v>
      </c>
      <c r="E42" s="35" t="s">
        <v>85</v>
      </c>
      <c r="F42" s="35" t="s">
        <v>86</v>
      </c>
      <c r="G42" s="35"/>
      <c r="H42" s="35" t="str">
        <f t="shared" si="3"/>
        <v>ОИ</v>
      </c>
      <c r="I42" s="34">
        <f t="shared" si="4"/>
        <v>0</v>
      </c>
      <c r="J42" s="35">
        <f t="shared" si="2"/>
        <v>710000000</v>
      </c>
      <c r="K42" s="35" t="s">
        <v>320</v>
      </c>
      <c r="L42" s="35" t="s">
        <v>157</v>
      </c>
      <c r="M42" s="35" t="s">
        <v>284</v>
      </c>
      <c r="N42" s="35" t="s">
        <v>22</v>
      </c>
      <c r="O42" s="34">
        <v>1</v>
      </c>
      <c r="P42" s="35" t="s">
        <v>153</v>
      </c>
      <c r="Q42" s="35">
        <v>5</v>
      </c>
      <c r="R42" s="38">
        <f>495/1.12</f>
        <v>441.96428571428567</v>
      </c>
      <c r="S42" s="33">
        <f t="shared" si="0"/>
        <v>2209.8214285714284</v>
      </c>
      <c r="T42" s="33">
        <f t="shared" si="1"/>
        <v>2475</v>
      </c>
      <c r="U42" s="33"/>
      <c r="V42" s="35">
        <v>2021</v>
      </c>
      <c r="W42" s="39"/>
      <c r="X42" s="63"/>
      <c r="Y42" s="63"/>
    </row>
    <row r="43" spans="2:25" s="36" customFormat="1" ht="65.099999999999994" customHeight="1" x14ac:dyDescent="0.2">
      <c r="B43" s="35" t="s">
        <v>111</v>
      </c>
      <c r="C43" s="35" t="s">
        <v>78</v>
      </c>
      <c r="D43" s="37" t="s">
        <v>180</v>
      </c>
      <c r="E43" s="35" t="s">
        <v>119</v>
      </c>
      <c r="F43" s="35" t="s">
        <v>120</v>
      </c>
      <c r="G43" s="35"/>
      <c r="H43" s="35" t="str">
        <f t="shared" si="3"/>
        <v>ОИ</v>
      </c>
      <c r="I43" s="34">
        <f t="shared" si="4"/>
        <v>0</v>
      </c>
      <c r="J43" s="35">
        <f t="shared" si="2"/>
        <v>710000000</v>
      </c>
      <c r="K43" s="35" t="s">
        <v>320</v>
      </c>
      <c r="L43" s="35" t="s">
        <v>157</v>
      </c>
      <c r="M43" s="35" t="s">
        <v>284</v>
      </c>
      <c r="N43" s="35" t="s">
        <v>22</v>
      </c>
      <c r="O43" s="34">
        <v>1</v>
      </c>
      <c r="P43" s="35" t="s">
        <v>153</v>
      </c>
      <c r="Q43" s="35">
        <v>30</v>
      </c>
      <c r="R43" s="38">
        <f>350/1.12</f>
        <v>312.49999999999994</v>
      </c>
      <c r="S43" s="33">
        <f t="shared" si="0"/>
        <v>9374.9999999999982</v>
      </c>
      <c r="T43" s="33">
        <f t="shared" si="1"/>
        <v>10499.999999999998</v>
      </c>
      <c r="U43" s="33"/>
      <c r="V43" s="35">
        <v>2021</v>
      </c>
      <c r="W43" s="39"/>
      <c r="X43" s="63"/>
      <c r="Y43" s="63"/>
    </row>
    <row r="44" spans="2:25" s="36" customFormat="1" ht="65.099999999999994" customHeight="1" x14ac:dyDescent="0.2">
      <c r="B44" s="35" t="s">
        <v>112</v>
      </c>
      <c r="C44" s="35" t="s">
        <v>78</v>
      </c>
      <c r="D44" s="37" t="s">
        <v>253</v>
      </c>
      <c r="E44" s="35" t="s">
        <v>254</v>
      </c>
      <c r="F44" s="35" t="s">
        <v>255</v>
      </c>
      <c r="G44" s="35"/>
      <c r="H44" s="35" t="str">
        <f t="shared" si="3"/>
        <v>ОИ</v>
      </c>
      <c r="I44" s="34">
        <f t="shared" si="4"/>
        <v>0</v>
      </c>
      <c r="J44" s="35">
        <f t="shared" si="2"/>
        <v>710000000</v>
      </c>
      <c r="K44" s="35" t="s">
        <v>320</v>
      </c>
      <c r="L44" s="35" t="s">
        <v>157</v>
      </c>
      <c r="M44" s="35" t="s">
        <v>282</v>
      </c>
      <c r="N44" s="35" t="str">
        <f>N41</f>
        <v>DDP</v>
      </c>
      <c r="O44" s="34">
        <f>O41</f>
        <v>1</v>
      </c>
      <c r="P44" s="35" t="s">
        <v>153</v>
      </c>
      <c r="Q44" s="35">
        <v>40</v>
      </c>
      <c r="R44" s="38">
        <f>100/1.12</f>
        <v>89.285714285714278</v>
      </c>
      <c r="S44" s="33">
        <f t="shared" si="0"/>
        <v>3571.4285714285711</v>
      </c>
      <c r="T44" s="33">
        <f t="shared" si="1"/>
        <v>4000</v>
      </c>
      <c r="U44" s="33"/>
      <c r="V44" s="35">
        <v>2021</v>
      </c>
      <c r="W44" s="39"/>
      <c r="X44" s="63"/>
      <c r="Y44" s="63"/>
    </row>
    <row r="45" spans="2:25" s="36" customFormat="1" ht="65.099999999999994" customHeight="1" x14ac:dyDescent="0.2">
      <c r="B45" s="35" t="s">
        <v>113</v>
      </c>
      <c r="C45" s="35" t="s">
        <v>78</v>
      </c>
      <c r="D45" s="37" t="s">
        <v>253</v>
      </c>
      <c r="E45" s="35" t="s">
        <v>254</v>
      </c>
      <c r="F45" s="35" t="s">
        <v>256</v>
      </c>
      <c r="G45" s="35"/>
      <c r="H45" s="35" t="str">
        <f t="shared" si="3"/>
        <v>ОИ</v>
      </c>
      <c r="I45" s="34">
        <f t="shared" si="4"/>
        <v>0</v>
      </c>
      <c r="J45" s="35">
        <f t="shared" si="2"/>
        <v>710000000</v>
      </c>
      <c r="K45" s="35" t="s">
        <v>320</v>
      </c>
      <c r="L45" s="35" t="s">
        <v>157</v>
      </c>
      <c r="M45" s="35" t="s">
        <v>282</v>
      </c>
      <c r="N45" s="35" t="str">
        <f t="shared" ref="N45:O52" si="7">N44</f>
        <v>DDP</v>
      </c>
      <c r="O45" s="34">
        <f t="shared" si="7"/>
        <v>1</v>
      </c>
      <c r="P45" s="35" t="s">
        <v>153</v>
      </c>
      <c r="Q45" s="35">
        <v>30</v>
      </c>
      <c r="R45" s="38">
        <f>165/1.12</f>
        <v>147.32142857142856</v>
      </c>
      <c r="S45" s="33">
        <f t="shared" si="0"/>
        <v>4419.6428571428569</v>
      </c>
      <c r="T45" s="33">
        <f t="shared" si="1"/>
        <v>4950</v>
      </c>
      <c r="U45" s="33"/>
      <c r="V45" s="35">
        <v>2021</v>
      </c>
      <c r="W45" s="39"/>
      <c r="X45" s="63"/>
      <c r="Y45" s="63"/>
    </row>
    <row r="46" spans="2:25" s="36" customFormat="1" ht="65.099999999999994" customHeight="1" x14ac:dyDescent="0.2">
      <c r="B46" s="35" t="s">
        <v>268</v>
      </c>
      <c r="C46" s="35" t="s">
        <v>78</v>
      </c>
      <c r="D46" s="37" t="s">
        <v>253</v>
      </c>
      <c r="E46" s="35" t="s">
        <v>254</v>
      </c>
      <c r="F46" s="35" t="s">
        <v>257</v>
      </c>
      <c r="G46" s="35"/>
      <c r="H46" s="35" t="str">
        <f t="shared" si="3"/>
        <v>ОИ</v>
      </c>
      <c r="I46" s="34">
        <f t="shared" si="4"/>
        <v>0</v>
      </c>
      <c r="J46" s="35">
        <f t="shared" si="2"/>
        <v>710000000</v>
      </c>
      <c r="K46" s="35" t="s">
        <v>320</v>
      </c>
      <c r="L46" s="35" t="s">
        <v>157</v>
      </c>
      <c r="M46" s="35" t="s">
        <v>282</v>
      </c>
      <c r="N46" s="35" t="str">
        <f t="shared" si="7"/>
        <v>DDP</v>
      </c>
      <c r="O46" s="34">
        <f t="shared" si="7"/>
        <v>1</v>
      </c>
      <c r="P46" s="35" t="s">
        <v>153</v>
      </c>
      <c r="Q46" s="35">
        <v>2</v>
      </c>
      <c r="R46" s="38">
        <f>300/1.12</f>
        <v>267.85714285714283</v>
      </c>
      <c r="S46" s="33">
        <f t="shared" si="0"/>
        <v>535.71428571428567</v>
      </c>
      <c r="T46" s="33">
        <f t="shared" si="1"/>
        <v>600</v>
      </c>
      <c r="U46" s="33"/>
      <c r="V46" s="35">
        <v>2021</v>
      </c>
      <c r="W46" s="39"/>
      <c r="X46" s="63"/>
      <c r="Y46" s="63"/>
    </row>
    <row r="47" spans="2:25" s="36" customFormat="1" ht="65.099999999999994" customHeight="1" x14ac:dyDescent="0.2">
      <c r="B47" s="35" t="s">
        <v>269</v>
      </c>
      <c r="C47" s="35" t="s">
        <v>78</v>
      </c>
      <c r="D47" s="37" t="s">
        <v>272</v>
      </c>
      <c r="E47" s="35" t="s">
        <v>273</v>
      </c>
      <c r="F47" s="35" t="s">
        <v>274</v>
      </c>
      <c r="G47" s="35"/>
      <c r="H47" s="35" t="str">
        <f t="shared" si="3"/>
        <v>ОИ</v>
      </c>
      <c r="I47" s="34">
        <f t="shared" si="4"/>
        <v>0</v>
      </c>
      <c r="J47" s="35">
        <f t="shared" si="2"/>
        <v>710000000</v>
      </c>
      <c r="K47" s="35" t="s">
        <v>320</v>
      </c>
      <c r="L47" s="35" t="s">
        <v>157</v>
      </c>
      <c r="M47" s="35" t="s">
        <v>282</v>
      </c>
      <c r="N47" s="35" t="str">
        <f t="shared" si="7"/>
        <v>DDP</v>
      </c>
      <c r="O47" s="34">
        <f t="shared" si="7"/>
        <v>1</v>
      </c>
      <c r="P47" s="35" t="s">
        <v>153</v>
      </c>
      <c r="Q47" s="35">
        <v>5</v>
      </c>
      <c r="R47" s="38">
        <f>495/1.12</f>
        <v>441.96428571428567</v>
      </c>
      <c r="S47" s="33">
        <f t="shared" si="0"/>
        <v>2209.8214285714284</v>
      </c>
      <c r="T47" s="33">
        <f t="shared" si="1"/>
        <v>2475</v>
      </c>
      <c r="U47" s="33"/>
      <c r="V47" s="35">
        <v>2021</v>
      </c>
      <c r="W47" s="39"/>
      <c r="X47" s="63"/>
      <c r="Y47" s="63"/>
    </row>
    <row r="48" spans="2:25" s="36" customFormat="1" ht="65.099999999999994" customHeight="1" x14ac:dyDescent="0.2">
      <c r="B48" s="35" t="s">
        <v>125</v>
      </c>
      <c r="C48" s="35" t="s">
        <v>78</v>
      </c>
      <c r="D48" s="37" t="s">
        <v>272</v>
      </c>
      <c r="E48" s="35" t="s">
        <v>273</v>
      </c>
      <c r="F48" s="35" t="s">
        <v>275</v>
      </c>
      <c r="G48" s="35"/>
      <c r="H48" s="35" t="str">
        <f t="shared" si="3"/>
        <v>ОИ</v>
      </c>
      <c r="I48" s="34">
        <f t="shared" si="4"/>
        <v>0</v>
      </c>
      <c r="J48" s="35">
        <f t="shared" si="2"/>
        <v>710000000</v>
      </c>
      <c r="K48" s="35" t="s">
        <v>320</v>
      </c>
      <c r="L48" s="35" t="s">
        <v>157</v>
      </c>
      <c r="M48" s="35" t="s">
        <v>282</v>
      </c>
      <c r="N48" s="35" t="str">
        <f t="shared" si="7"/>
        <v>DDP</v>
      </c>
      <c r="O48" s="34">
        <f t="shared" si="7"/>
        <v>1</v>
      </c>
      <c r="P48" s="35" t="s">
        <v>153</v>
      </c>
      <c r="Q48" s="35">
        <v>5</v>
      </c>
      <c r="R48" s="38">
        <f>135/1.12</f>
        <v>120.53571428571428</v>
      </c>
      <c r="S48" s="33">
        <f t="shared" si="0"/>
        <v>602.67857142857133</v>
      </c>
      <c r="T48" s="33">
        <f t="shared" si="1"/>
        <v>675</v>
      </c>
      <c r="U48" s="33"/>
      <c r="V48" s="35">
        <v>2021</v>
      </c>
      <c r="W48" s="39"/>
      <c r="X48" s="63"/>
      <c r="Y48" s="63"/>
    </row>
    <row r="49" spans="2:27" s="36" customFormat="1" ht="65.099999999999994" customHeight="1" x14ac:dyDescent="0.2">
      <c r="B49" s="35" t="s">
        <v>270</v>
      </c>
      <c r="C49" s="35" t="s">
        <v>78</v>
      </c>
      <c r="D49" s="37" t="s">
        <v>176</v>
      </c>
      <c r="E49" s="35" t="s">
        <v>145</v>
      </c>
      <c r="F49" s="35" t="s">
        <v>146</v>
      </c>
      <c r="G49" s="35"/>
      <c r="H49" s="35" t="str">
        <f t="shared" si="3"/>
        <v>ОИ</v>
      </c>
      <c r="I49" s="34">
        <f t="shared" si="4"/>
        <v>0</v>
      </c>
      <c r="J49" s="35">
        <f t="shared" si="2"/>
        <v>710000000</v>
      </c>
      <c r="K49" s="35" t="s">
        <v>320</v>
      </c>
      <c r="L49" s="35" t="s">
        <v>158</v>
      </c>
      <c r="M49" s="35" t="s">
        <v>282</v>
      </c>
      <c r="N49" s="35" t="str">
        <f t="shared" si="7"/>
        <v>DDP</v>
      </c>
      <c r="O49" s="34">
        <f t="shared" si="7"/>
        <v>1</v>
      </c>
      <c r="P49" s="35" t="s">
        <v>156</v>
      </c>
      <c r="Q49" s="35">
        <v>17</v>
      </c>
      <c r="R49" s="38">
        <f>13000/1.12</f>
        <v>11607.142857142857</v>
      </c>
      <c r="S49" s="33">
        <f t="shared" si="0"/>
        <v>197321.42857142858</v>
      </c>
      <c r="T49" s="33">
        <f t="shared" si="1"/>
        <v>221000.00000000003</v>
      </c>
      <c r="U49" s="33"/>
      <c r="V49" s="35">
        <v>2021</v>
      </c>
      <c r="W49" s="39"/>
      <c r="X49" s="63"/>
      <c r="Y49" s="63"/>
    </row>
    <row r="50" spans="2:27" s="36" customFormat="1" ht="65.099999999999994" customHeight="1" x14ac:dyDescent="0.2">
      <c r="B50" s="35" t="s">
        <v>271</v>
      </c>
      <c r="C50" s="35" t="s">
        <v>78</v>
      </c>
      <c r="D50" s="37" t="s">
        <v>175</v>
      </c>
      <c r="E50" s="35" t="s">
        <v>151</v>
      </c>
      <c r="F50" s="35" t="s">
        <v>150</v>
      </c>
      <c r="G50" s="35"/>
      <c r="H50" s="35" t="str">
        <f t="shared" si="3"/>
        <v>ОИ</v>
      </c>
      <c r="I50" s="34">
        <f t="shared" si="4"/>
        <v>0</v>
      </c>
      <c r="J50" s="35">
        <f t="shared" si="2"/>
        <v>710000000</v>
      </c>
      <c r="K50" s="35" t="s">
        <v>320</v>
      </c>
      <c r="L50" s="35" t="s">
        <v>158</v>
      </c>
      <c r="M50" s="35" t="s">
        <v>282</v>
      </c>
      <c r="N50" s="35" t="str">
        <f t="shared" si="7"/>
        <v>DDP</v>
      </c>
      <c r="O50" s="34">
        <f t="shared" si="7"/>
        <v>1</v>
      </c>
      <c r="P50" s="35" t="s">
        <v>153</v>
      </c>
      <c r="Q50" s="35">
        <v>3</v>
      </c>
      <c r="R50" s="38">
        <f>98000/1.12</f>
        <v>87499.999999999985</v>
      </c>
      <c r="S50" s="33">
        <f t="shared" si="0"/>
        <v>262499.99999999994</v>
      </c>
      <c r="T50" s="33">
        <f t="shared" si="1"/>
        <v>293999.99999999994</v>
      </c>
      <c r="U50" s="33"/>
      <c r="V50" s="35">
        <v>2021</v>
      </c>
      <c r="W50" s="39"/>
      <c r="X50" s="63"/>
      <c r="Y50" s="63"/>
    </row>
    <row r="51" spans="2:27" s="36" customFormat="1" ht="65.099999999999994" customHeight="1" x14ac:dyDescent="0.2">
      <c r="B51" s="35" t="s">
        <v>149</v>
      </c>
      <c r="C51" s="35" t="s">
        <v>78</v>
      </c>
      <c r="D51" s="37" t="s">
        <v>175</v>
      </c>
      <c r="E51" s="35" t="s">
        <v>151</v>
      </c>
      <c r="F51" s="35" t="s">
        <v>252</v>
      </c>
      <c r="G51" s="35"/>
      <c r="H51" s="35" t="str">
        <f>H50</f>
        <v>ОИ</v>
      </c>
      <c r="I51" s="34">
        <f>I50</f>
        <v>0</v>
      </c>
      <c r="J51" s="35">
        <f t="shared" si="2"/>
        <v>710000000</v>
      </c>
      <c r="K51" s="35" t="s">
        <v>320</v>
      </c>
      <c r="L51" s="35" t="s">
        <v>158</v>
      </c>
      <c r="M51" s="35" t="s">
        <v>282</v>
      </c>
      <c r="N51" s="35" t="str">
        <f>N50</f>
        <v>DDP</v>
      </c>
      <c r="O51" s="34">
        <f>O50</f>
        <v>1</v>
      </c>
      <c r="P51" s="35" t="s">
        <v>153</v>
      </c>
      <c r="Q51" s="35">
        <v>6</v>
      </c>
      <c r="R51" s="38">
        <f>150000/1.12</f>
        <v>133928.57142857142</v>
      </c>
      <c r="S51" s="33">
        <f t="shared" si="0"/>
        <v>803571.42857142852</v>
      </c>
      <c r="T51" s="33">
        <v>900000</v>
      </c>
      <c r="U51" s="33"/>
      <c r="V51" s="35">
        <v>2021</v>
      </c>
      <c r="W51" s="39"/>
      <c r="X51" s="63"/>
      <c r="Y51" s="63"/>
    </row>
    <row r="52" spans="2:27" s="36" customFormat="1" ht="65.099999999999994" customHeight="1" x14ac:dyDescent="0.2">
      <c r="B52" s="35" t="s">
        <v>304</v>
      </c>
      <c r="C52" s="35" t="s">
        <v>78</v>
      </c>
      <c r="D52" s="37" t="s">
        <v>305</v>
      </c>
      <c r="E52" s="35" t="s">
        <v>303</v>
      </c>
      <c r="F52" s="35" t="s">
        <v>306</v>
      </c>
      <c r="G52" s="35"/>
      <c r="H52" s="35" t="str">
        <f t="shared" si="3"/>
        <v>ОИ</v>
      </c>
      <c r="I52" s="35">
        <f t="shared" si="3"/>
        <v>0</v>
      </c>
      <c r="J52" s="35">
        <f t="shared" si="2"/>
        <v>710000000</v>
      </c>
      <c r="K52" s="35" t="s">
        <v>320</v>
      </c>
      <c r="L52" s="35" t="s">
        <v>280</v>
      </c>
      <c r="M52" s="35" t="s">
        <v>282</v>
      </c>
      <c r="N52" s="35" t="str">
        <f t="shared" si="7"/>
        <v>DDP</v>
      </c>
      <c r="O52" s="34">
        <f>O51</f>
        <v>1</v>
      </c>
      <c r="P52" s="35" t="s">
        <v>153</v>
      </c>
      <c r="Q52" s="35">
        <v>1</v>
      </c>
      <c r="R52" s="33">
        <v>666627.6</v>
      </c>
      <c r="S52" s="33">
        <f>T52/1.12</f>
        <v>666627.67857142852</v>
      </c>
      <c r="T52" s="54">
        <v>746623</v>
      </c>
      <c r="U52" s="33"/>
      <c r="V52" s="35">
        <v>2021</v>
      </c>
      <c r="W52" s="39"/>
      <c r="X52" s="63"/>
      <c r="Y52" s="63"/>
    </row>
    <row r="53" spans="2:27" s="44" customFormat="1" ht="15.75" x14ac:dyDescent="0.2">
      <c r="B53" s="65" t="s">
        <v>25</v>
      </c>
      <c r="C53" s="65"/>
      <c r="D53" s="65"/>
      <c r="E53" s="65"/>
      <c r="F53" s="65"/>
      <c r="G53" s="42"/>
      <c r="H53" s="35"/>
      <c r="I53" s="42"/>
      <c r="J53" s="42"/>
      <c r="K53" s="42"/>
      <c r="L53" s="42"/>
      <c r="M53" s="42"/>
      <c r="N53" s="42"/>
      <c r="O53" s="42"/>
      <c r="P53" s="42"/>
      <c r="Q53" s="42"/>
      <c r="R53" s="48"/>
      <c r="S53" s="29">
        <f>SUM(S10:S52)</f>
        <v>3269306.2500000005</v>
      </c>
      <c r="T53" s="29">
        <f>SUM(T10:T52)</f>
        <v>3661623</v>
      </c>
      <c r="U53" s="42"/>
      <c r="V53" s="29"/>
      <c r="W53" s="29"/>
      <c r="X53" s="63"/>
      <c r="Y53" s="63"/>
      <c r="Z53" s="43"/>
    </row>
    <row r="54" spans="2:27" s="36" customFormat="1" ht="30" customHeight="1" x14ac:dyDescent="0.2">
      <c r="B54" s="65" t="s">
        <v>244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3"/>
      <c r="Y54" s="63"/>
      <c r="Z54" s="45"/>
      <c r="AA54" s="46"/>
    </row>
    <row r="55" spans="2:27" s="36" customFormat="1" ht="65.099999999999994" customHeight="1" x14ac:dyDescent="0.2">
      <c r="B55" s="35" t="s">
        <v>27</v>
      </c>
      <c r="C55" s="35" t="s">
        <v>78</v>
      </c>
      <c r="D55" s="37" t="s">
        <v>174</v>
      </c>
      <c r="E55" s="35" t="s">
        <v>47</v>
      </c>
      <c r="F55" s="35" t="s">
        <v>204</v>
      </c>
      <c r="G55" s="35"/>
      <c r="H55" s="35" t="s">
        <v>23</v>
      </c>
      <c r="I55" s="34">
        <v>1</v>
      </c>
      <c r="J55" s="35">
        <v>710000000</v>
      </c>
      <c r="K55" s="35" t="s">
        <v>320</v>
      </c>
      <c r="L55" s="35" t="s">
        <v>285</v>
      </c>
      <c r="M55" s="35" t="s">
        <v>282</v>
      </c>
      <c r="N55" s="35" t="s">
        <v>22</v>
      </c>
      <c r="O55" s="34" t="s">
        <v>31</v>
      </c>
      <c r="P55" s="35" t="s">
        <v>28</v>
      </c>
      <c r="Q55" s="35"/>
      <c r="R55" s="38"/>
      <c r="S55" s="33">
        <f>T55/1.12</f>
        <v>2732142.8571428568</v>
      </c>
      <c r="T55" s="33">
        <v>3060000</v>
      </c>
      <c r="U55" s="33"/>
      <c r="V55" s="35">
        <v>2021</v>
      </c>
      <c r="W55" s="39"/>
      <c r="X55" s="63"/>
      <c r="Y55" s="63"/>
    </row>
    <row r="56" spans="2:27" s="36" customFormat="1" ht="65.099999999999994" customHeight="1" x14ac:dyDescent="0.2">
      <c r="B56" s="35" t="s">
        <v>29</v>
      </c>
      <c r="C56" s="35" t="s">
        <v>78</v>
      </c>
      <c r="D56" s="37" t="s">
        <v>173</v>
      </c>
      <c r="E56" s="35" t="s">
        <v>205</v>
      </c>
      <c r="F56" s="35" t="s">
        <v>205</v>
      </c>
      <c r="G56" s="35"/>
      <c r="H56" s="35" t="s">
        <v>23</v>
      </c>
      <c r="I56" s="34">
        <v>1</v>
      </c>
      <c r="J56" s="35">
        <v>710000000</v>
      </c>
      <c r="K56" s="35" t="s">
        <v>320</v>
      </c>
      <c r="L56" s="35" t="s">
        <v>285</v>
      </c>
      <c r="M56" s="35" t="s">
        <v>282</v>
      </c>
      <c r="N56" s="35" t="s">
        <v>22</v>
      </c>
      <c r="O56" s="34" t="s">
        <v>24</v>
      </c>
      <c r="P56" s="35" t="s">
        <v>28</v>
      </c>
      <c r="Q56" s="35"/>
      <c r="R56" s="38"/>
      <c r="S56" s="33">
        <f>T56/1.12</f>
        <v>1071428.5714285714</v>
      </c>
      <c r="T56" s="33">
        <v>1200000</v>
      </c>
      <c r="U56" s="33"/>
      <c r="V56" s="35">
        <v>2021</v>
      </c>
      <c r="W56" s="39"/>
      <c r="X56" s="63"/>
      <c r="Y56" s="63"/>
    </row>
    <row r="57" spans="2:27" s="36" customFormat="1" ht="65.099999999999994" customHeight="1" x14ac:dyDescent="0.2">
      <c r="B57" s="35" t="s">
        <v>30</v>
      </c>
      <c r="C57" s="35" t="s">
        <v>78</v>
      </c>
      <c r="D57" s="37" t="s">
        <v>172</v>
      </c>
      <c r="E57" s="35" t="s">
        <v>206</v>
      </c>
      <c r="F57" s="35" t="s">
        <v>206</v>
      </c>
      <c r="G57" s="35"/>
      <c r="H57" s="35" t="s">
        <v>23</v>
      </c>
      <c r="I57" s="34">
        <v>1</v>
      </c>
      <c r="J57" s="35">
        <v>710000000</v>
      </c>
      <c r="K57" s="35" t="s">
        <v>320</v>
      </c>
      <c r="L57" s="35" t="s">
        <v>285</v>
      </c>
      <c r="M57" s="35" t="s">
        <v>282</v>
      </c>
      <c r="N57" s="35" t="s">
        <v>22</v>
      </c>
      <c r="O57" s="34" t="s">
        <v>31</v>
      </c>
      <c r="P57" s="35" t="s">
        <v>28</v>
      </c>
      <c r="Q57" s="35"/>
      <c r="R57" s="38"/>
      <c r="S57" s="33">
        <f>T57/1.12</f>
        <v>39112500</v>
      </c>
      <c r="T57" s="33">
        <v>43806000</v>
      </c>
      <c r="U57" s="33"/>
      <c r="V57" s="35">
        <v>2021</v>
      </c>
      <c r="W57" s="39"/>
      <c r="X57" s="63"/>
      <c r="Y57" s="63"/>
    </row>
    <row r="58" spans="2:27" s="36" customFormat="1" ht="65.099999999999994" customHeight="1" x14ac:dyDescent="0.2">
      <c r="B58" s="35" t="s">
        <v>32</v>
      </c>
      <c r="C58" s="35" t="s">
        <v>78</v>
      </c>
      <c r="D58" s="37" t="s">
        <v>171</v>
      </c>
      <c r="E58" s="35" t="s">
        <v>207</v>
      </c>
      <c r="F58" s="35" t="s">
        <v>286</v>
      </c>
      <c r="G58" s="35"/>
      <c r="H58" s="35" t="s">
        <v>40</v>
      </c>
      <c r="I58" s="34">
        <v>1</v>
      </c>
      <c r="J58" s="35">
        <v>710000000</v>
      </c>
      <c r="K58" s="35" t="s">
        <v>320</v>
      </c>
      <c r="L58" s="35" t="s">
        <v>285</v>
      </c>
      <c r="M58" s="35" t="s">
        <v>282</v>
      </c>
      <c r="N58" s="35" t="s">
        <v>22</v>
      </c>
      <c r="O58" s="34" t="s">
        <v>31</v>
      </c>
      <c r="P58" s="35" t="s">
        <v>28</v>
      </c>
      <c r="Q58" s="35"/>
      <c r="R58" s="38"/>
      <c r="S58" s="33">
        <f>T58/1.12</f>
        <v>5807142.8571428563</v>
      </c>
      <c r="T58" s="33">
        <v>6504000</v>
      </c>
      <c r="U58" s="33"/>
      <c r="V58" s="35">
        <v>2021</v>
      </c>
      <c r="W58" s="39"/>
      <c r="X58" s="63"/>
      <c r="Y58" s="63"/>
    </row>
    <row r="59" spans="2:27" s="36" customFormat="1" ht="65.099999999999994" customHeight="1" x14ac:dyDescent="0.2">
      <c r="B59" s="35" t="s">
        <v>33</v>
      </c>
      <c r="C59" s="35" t="s">
        <v>78</v>
      </c>
      <c r="D59" s="37" t="s">
        <v>276</v>
      </c>
      <c r="E59" s="35" t="s">
        <v>277</v>
      </c>
      <c r="F59" s="35" t="s">
        <v>278</v>
      </c>
      <c r="G59" s="35"/>
      <c r="H59" s="35" t="s">
        <v>23</v>
      </c>
      <c r="I59" s="34">
        <v>1</v>
      </c>
      <c r="J59" s="35">
        <v>710000000</v>
      </c>
      <c r="K59" s="35" t="s">
        <v>320</v>
      </c>
      <c r="L59" s="35" t="s">
        <v>285</v>
      </c>
      <c r="M59" s="35" t="s">
        <v>282</v>
      </c>
      <c r="N59" s="35" t="s">
        <v>22</v>
      </c>
      <c r="O59" s="34" t="s">
        <v>31</v>
      </c>
      <c r="P59" s="35" t="s">
        <v>28</v>
      </c>
      <c r="Q59" s="35"/>
      <c r="R59" s="38"/>
      <c r="S59" s="33">
        <f>T59/1.12</f>
        <v>3198214.2857142854</v>
      </c>
      <c r="T59" s="33">
        <v>3582000</v>
      </c>
      <c r="U59" s="33"/>
      <c r="V59" s="35">
        <v>2021</v>
      </c>
      <c r="W59" s="39"/>
      <c r="X59" s="63"/>
      <c r="Y59" s="63"/>
    </row>
    <row r="60" spans="2:27" s="36" customFormat="1" ht="65.099999999999994" customHeight="1" x14ac:dyDescent="0.2">
      <c r="B60" s="35" t="s">
        <v>34</v>
      </c>
      <c r="C60" s="35" t="s">
        <v>78</v>
      </c>
      <c r="D60" s="37" t="s">
        <v>167</v>
      </c>
      <c r="E60" s="35" t="s">
        <v>217</v>
      </c>
      <c r="F60" s="35" t="s">
        <v>217</v>
      </c>
      <c r="G60" s="35"/>
      <c r="H60" s="35" t="s">
        <v>23</v>
      </c>
      <c r="I60" s="34">
        <v>1</v>
      </c>
      <c r="J60" s="35">
        <v>710000000</v>
      </c>
      <c r="K60" s="35" t="s">
        <v>320</v>
      </c>
      <c r="L60" s="35" t="s">
        <v>160</v>
      </c>
      <c r="M60" s="35" t="s">
        <v>282</v>
      </c>
      <c r="N60" s="35" t="s">
        <v>22</v>
      </c>
      <c r="O60" s="34">
        <v>1</v>
      </c>
      <c r="P60" s="35" t="s">
        <v>28</v>
      </c>
      <c r="Q60" s="35"/>
      <c r="R60" s="38"/>
      <c r="S60" s="33">
        <v>188000</v>
      </c>
      <c r="T60" s="33"/>
      <c r="U60" s="33"/>
      <c r="V60" s="35">
        <v>2021</v>
      </c>
      <c r="W60" s="39"/>
      <c r="X60" s="63"/>
      <c r="Y60" s="63"/>
    </row>
    <row r="61" spans="2:27" s="36" customFormat="1" ht="88.15" customHeight="1" x14ac:dyDescent="0.2">
      <c r="B61" s="35" t="s">
        <v>35</v>
      </c>
      <c r="C61" s="35" t="s">
        <v>78</v>
      </c>
      <c r="D61" s="37" t="s">
        <v>162</v>
      </c>
      <c r="E61" s="35" t="s">
        <v>77</v>
      </c>
      <c r="F61" s="35" t="s">
        <v>142</v>
      </c>
      <c r="G61" s="35"/>
      <c r="H61" s="35" t="s">
        <v>23</v>
      </c>
      <c r="I61" s="34">
        <v>1</v>
      </c>
      <c r="J61" s="35">
        <v>710000000</v>
      </c>
      <c r="K61" s="35" t="s">
        <v>320</v>
      </c>
      <c r="L61" s="35" t="s">
        <v>281</v>
      </c>
      <c r="M61" s="35" t="s">
        <v>282</v>
      </c>
      <c r="N61" s="35" t="s">
        <v>22</v>
      </c>
      <c r="O61" s="34">
        <v>1</v>
      </c>
      <c r="P61" s="35" t="s">
        <v>28</v>
      </c>
      <c r="Q61" s="35"/>
      <c r="R61" s="38"/>
      <c r="S61" s="33">
        <f t="shared" ref="S61:S68" si="8">T61/1.12</f>
        <v>446428.57142857136</v>
      </c>
      <c r="T61" s="33">
        <v>500000</v>
      </c>
      <c r="U61" s="33"/>
      <c r="V61" s="35">
        <v>2021</v>
      </c>
      <c r="W61" s="39"/>
      <c r="X61" s="63"/>
      <c r="Y61" s="63"/>
    </row>
    <row r="62" spans="2:27" s="36" customFormat="1" ht="65.099999999999994" customHeight="1" x14ac:dyDescent="0.2">
      <c r="B62" s="35" t="s">
        <v>36</v>
      </c>
      <c r="C62" s="47" t="s">
        <v>78</v>
      </c>
      <c r="D62" s="62" t="s">
        <v>170</v>
      </c>
      <c r="E62" s="47" t="s">
        <v>208</v>
      </c>
      <c r="F62" s="47" t="s">
        <v>208</v>
      </c>
      <c r="G62" s="35"/>
      <c r="H62" s="35" t="s">
        <v>23</v>
      </c>
      <c r="I62" s="34">
        <v>1</v>
      </c>
      <c r="J62" s="35">
        <v>710000000</v>
      </c>
      <c r="K62" s="35" t="s">
        <v>320</v>
      </c>
      <c r="L62" s="35" t="s">
        <v>159</v>
      </c>
      <c r="M62" s="35" t="s">
        <v>282</v>
      </c>
      <c r="N62" s="35" t="s">
        <v>22</v>
      </c>
      <c r="O62" s="34" t="s">
        <v>24</v>
      </c>
      <c r="P62" s="35" t="s">
        <v>28</v>
      </c>
      <c r="Q62" s="35"/>
      <c r="R62" s="38"/>
      <c r="S62" s="33">
        <f t="shared" si="8"/>
        <v>660714.28571428568</v>
      </c>
      <c r="T62" s="33">
        <v>740000</v>
      </c>
      <c r="U62" s="33"/>
      <c r="V62" s="35">
        <v>2021</v>
      </c>
      <c r="W62" s="39"/>
      <c r="X62" s="63"/>
      <c r="Y62" s="63"/>
    </row>
    <row r="63" spans="2:27" s="36" customFormat="1" ht="65.099999999999994" customHeight="1" x14ac:dyDescent="0.2">
      <c r="B63" s="35" t="s">
        <v>37</v>
      </c>
      <c r="C63" s="35" t="s">
        <v>78</v>
      </c>
      <c r="D63" s="37" t="s">
        <v>225</v>
      </c>
      <c r="E63" s="35" t="s">
        <v>226</v>
      </c>
      <c r="F63" s="35" t="s">
        <v>226</v>
      </c>
      <c r="G63" s="35"/>
      <c r="H63" s="35" t="s">
        <v>23</v>
      </c>
      <c r="I63" s="34">
        <v>1</v>
      </c>
      <c r="J63" s="35">
        <v>710000000</v>
      </c>
      <c r="K63" s="35" t="s">
        <v>320</v>
      </c>
      <c r="L63" s="35" t="s">
        <v>159</v>
      </c>
      <c r="M63" s="35" t="s">
        <v>282</v>
      </c>
      <c r="N63" s="35" t="s">
        <v>22</v>
      </c>
      <c r="O63" s="34" t="s">
        <v>31</v>
      </c>
      <c r="P63" s="35" t="s">
        <v>28</v>
      </c>
      <c r="Q63" s="35"/>
      <c r="R63" s="38"/>
      <c r="S63" s="33">
        <f t="shared" si="8"/>
        <v>3535714.2857142854</v>
      </c>
      <c r="T63" s="33">
        <v>3960000</v>
      </c>
      <c r="U63" s="33"/>
      <c r="V63" s="35">
        <v>2021</v>
      </c>
      <c r="W63" s="39"/>
      <c r="X63" s="63"/>
      <c r="Y63" s="63"/>
    </row>
    <row r="64" spans="2:27" s="36" customFormat="1" ht="65.099999999999994" customHeight="1" x14ac:dyDescent="0.2">
      <c r="B64" s="35" t="s">
        <v>48</v>
      </c>
      <c r="C64" s="35" t="s">
        <v>78</v>
      </c>
      <c r="D64" s="37" t="s">
        <v>245</v>
      </c>
      <c r="E64" s="35" t="s">
        <v>246</v>
      </c>
      <c r="F64" s="35" t="s">
        <v>247</v>
      </c>
      <c r="G64" s="35"/>
      <c r="H64" s="35" t="s">
        <v>23</v>
      </c>
      <c r="I64" s="34">
        <v>1</v>
      </c>
      <c r="J64" s="35">
        <v>710000000</v>
      </c>
      <c r="K64" s="35" t="s">
        <v>320</v>
      </c>
      <c r="L64" s="35" t="s">
        <v>159</v>
      </c>
      <c r="M64" s="35" t="s">
        <v>282</v>
      </c>
      <c r="N64" s="35" t="s">
        <v>22</v>
      </c>
      <c r="O64" s="34">
        <v>1</v>
      </c>
      <c r="P64" s="35" t="s">
        <v>28</v>
      </c>
      <c r="Q64" s="35"/>
      <c r="R64" s="38"/>
      <c r="S64" s="33">
        <f t="shared" si="8"/>
        <v>616071.42857142852</v>
      </c>
      <c r="T64" s="33">
        <v>690000</v>
      </c>
      <c r="U64" s="33"/>
      <c r="V64" s="35">
        <v>2021</v>
      </c>
      <c r="W64" s="39"/>
      <c r="X64" s="63"/>
      <c r="Y64" s="63"/>
    </row>
    <row r="65" spans="2:25" s="36" customFormat="1" ht="65.099999999999994" customHeight="1" x14ac:dyDescent="0.2">
      <c r="B65" s="35" t="s">
        <v>49</v>
      </c>
      <c r="C65" s="35" t="s">
        <v>78</v>
      </c>
      <c r="D65" s="37" t="s">
        <v>209</v>
      </c>
      <c r="E65" s="35" t="s">
        <v>210</v>
      </c>
      <c r="F65" s="35" t="s">
        <v>211</v>
      </c>
      <c r="G65" s="35"/>
      <c r="H65" s="35" t="s">
        <v>23</v>
      </c>
      <c r="I65" s="34">
        <v>1</v>
      </c>
      <c r="J65" s="35">
        <v>710000000</v>
      </c>
      <c r="K65" s="35" t="s">
        <v>320</v>
      </c>
      <c r="L65" s="35" t="s">
        <v>159</v>
      </c>
      <c r="M65" s="35" t="s">
        <v>282</v>
      </c>
      <c r="N65" s="35" t="s">
        <v>22</v>
      </c>
      <c r="O65" s="34" t="s">
        <v>31</v>
      </c>
      <c r="P65" s="35" t="s">
        <v>28</v>
      </c>
      <c r="Q65" s="35"/>
      <c r="R65" s="38"/>
      <c r="S65" s="33">
        <f t="shared" si="8"/>
        <v>4816964.2857142854</v>
      </c>
      <c r="T65" s="33">
        <v>5395000</v>
      </c>
      <c r="U65" s="33"/>
      <c r="V65" s="35">
        <v>2021</v>
      </c>
      <c r="W65" s="39"/>
      <c r="X65" s="63"/>
      <c r="Y65" s="63"/>
    </row>
    <row r="66" spans="2:25" s="36" customFormat="1" ht="65.099999999999994" customHeight="1" x14ac:dyDescent="0.2">
      <c r="B66" s="35" t="s">
        <v>42</v>
      </c>
      <c r="C66" s="35" t="s">
        <v>78</v>
      </c>
      <c r="D66" s="37" t="s">
        <v>147</v>
      </c>
      <c r="E66" s="35" t="s">
        <v>213</v>
      </c>
      <c r="F66" s="35" t="s">
        <v>212</v>
      </c>
      <c r="G66" s="35"/>
      <c r="H66" s="35" t="s">
        <v>23</v>
      </c>
      <c r="I66" s="34">
        <v>1</v>
      </c>
      <c r="J66" s="35">
        <v>710000000</v>
      </c>
      <c r="K66" s="35" t="s">
        <v>320</v>
      </c>
      <c r="L66" s="35" t="s">
        <v>159</v>
      </c>
      <c r="M66" s="35" t="s">
        <v>282</v>
      </c>
      <c r="N66" s="35" t="s">
        <v>22</v>
      </c>
      <c r="O66" s="34">
        <v>1</v>
      </c>
      <c r="P66" s="35" t="s">
        <v>28</v>
      </c>
      <c r="Q66" s="35"/>
      <c r="R66" s="38"/>
      <c r="S66" s="33">
        <f t="shared" si="8"/>
        <v>892857.14285714272</v>
      </c>
      <c r="T66" s="33">
        <v>1000000</v>
      </c>
      <c r="U66" s="33"/>
      <c r="V66" s="35">
        <v>2021</v>
      </c>
      <c r="W66" s="39"/>
      <c r="X66" s="63"/>
      <c r="Y66" s="63"/>
    </row>
    <row r="67" spans="2:25" s="36" customFormat="1" ht="65.099999999999994" customHeight="1" x14ac:dyDescent="0.2">
      <c r="B67" s="35" t="s">
        <v>148</v>
      </c>
      <c r="C67" s="35" t="s">
        <v>78</v>
      </c>
      <c r="D67" s="37" t="s">
        <v>169</v>
      </c>
      <c r="E67" s="35" t="s">
        <v>143</v>
      </c>
      <c r="F67" s="35" t="s">
        <v>144</v>
      </c>
      <c r="G67" s="35"/>
      <c r="H67" s="35" t="s">
        <v>23</v>
      </c>
      <c r="I67" s="34">
        <v>1</v>
      </c>
      <c r="J67" s="35">
        <v>710000000</v>
      </c>
      <c r="K67" s="35" t="s">
        <v>320</v>
      </c>
      <c r="L67" s="35" t="s">
        <v>280</v>
      </c>
      <c r="M67" s="35" t="s">
        <v>282</v>
      </c>
      <c r="N67" s="35" t="s">
        <v>22</v>
      </c>
      <c r="O67" s="34">
        <v>1</v>
      </c>
      <c r="P67" s="35" t="s">
        <v>28</v>
      </c>
      <c r="Q67" s="35"/>
      <c r="R67" s="38"/>
      <c r="S67" s="33">
        <f t="shared" si="8"/>
        <v>178571.42857142855</v>
      </c>
      <c r="T67" s="33">
        <v>200000</v>
      </c>
      <c r="U67" s="33"/>
      <c r="V67" s="35">
        <v>2021</v>
      </c>
      <c r="W67" s="39"/>
      <c r="X67" s="63"/>
      <c r="Y67" s="63"/>
    </row>
    <row r="68" spans="2:25" s="36" customFormat="1" ht="65.099999999999994" customHeight="1" x14ac:dyDescent="0.2">
      <c r="B68" s="35" t="s">
        <v>43</v>
      </c>
      <c r="C68" s="35" t="s">
        <v>78</v>
      </c>
      <c r="D68" s="37" t="s">
        <v>168</v>
      </c>
      <c r="E68" s="35" t="s">
        <v>214</v>
      </c>
      <c r="F68" s="35" t="s">
        <v>215</v>
      </c>
      <c r="G68" s="35"/>
      <c r="H68" s="35" t="s">
        <v>23</v>
      </c>
      <c r="I68" s="34">
        <v>1</v>
      </c>
      <c r="J68" s="35">
        <v>710000000</v>
      </c>
      <c r="K68" s="35" t="s">
        <v>320</v>
      </c>
      <c r="L68" s="35" t="s">
        <v>281</v>
      </c>
      <c r="M68" s="35" t="s">
        <v>282</v>
      </c>
      <c r="N68" s="35" t="s">
        <v>22</v>
      </c>
      <c r="O68" s="34">
        <v>1</v>
      </c>
      <c r="P68" s="35" t="s">
        <v>28</v>
      </c>
      <c r="Q68" s="35"/>
      <c r="R68" s="38"/>
      <c r="S68" s="33">
        <f t="shared" si="8"/>
        <v>2678571.4285714282</v>
      </c>
      <c r="T68" s="33">
        <v>3000000</v>
      </c>
      <c r="U68" s="33"/>
      <c r="V68" s="35">
        <v>2021</v>
      </c>
      <c r="W68" s="39"/>
      <c r="X68" s="63"/>
      <c r="Y68" s="63"/>
    </row>
    <row r="69" spans="2:25" s="36" customFormat="1" ht="65.099999999999994" customHeight="1" x14ac:dyDescent="0.2">
      <c r="B69" s="35" t="s">
        <v>129</v>
      </c>
      <c r="C69" s="35" t="s">
        <v>78</v>
      </c>
      <c r="D69" s="37" t="s">
        <v>216</v>
      </c>
      <c r="E69" s="35" t="s">
        <v>141</v>
      </c>
      <c r="F69" s="35" t="s">
        <v>218</v>
      </c>
      <c r="G69" s="35"/>
      <c r="H69" s="35" t="s">
        <v>23</v>
      </c>
      <c r="I69" s="34">
        <v>1</v>
      </c>
      <c r="J69" s="35">
        <v>711210000</v>
      </c>
      <c r="K69" s="35" t="s">
        <v>320</v>
      </c>
      <c r="L69" s="35" t="s">
        <v>161</v>
      </c>
      <c r="M69" s="35" t="s">
        <v>282</v>
      </c>
      <c r="N69" s="35"/>
      <c r="O69" s="34" t="s">
        <v>131</v>
      </c>
      <c r="P69" s="35" t="s">
        <v>28</v>
      </c>
      <c r="Q69" s="35"/>
      <c r="R69" s="38"/>
      <c r="S69" s="33">
        <v>4250000</v>
      </c>
      <c r="T69" s="33"/>
      <c r="U69" s="33"/>
      <c r="V69" s="35">
        <v>2021</v>
      </c>
      <c r="W69" s="39"/>
      <c r="X69" s="63"/>
      <c r="Y69" s="63"/>
    </row>
    <row r="70" spans="2:25" s="36" customFormat="1" ht="87" customHeight="1" x14ac:dyDescent="0.2">
      <c r="B70" s="35" t="s">
        <v>44</v>
      </c>
      <c r="C70" s="35" t="s">
        <v>78</v>
      </c>
      <c r="D70" s="37" t="s">
        <v>166</v>
      </c>
      <c r="E70" s="35" t="s">
        <v>124</v>
      </c>
      <c r="F70" s="35" t="s">
        <v>124</v>
      </c>
      <c r="G70" s="35"/>
      <c r="H70" s="35" t="s">
        <v>23</v>
      </c>
      <c r="I70" s="34">
        <v>1</v>
      </c>
      <c r="J70" s="35">
        <v>710000000</v>
      </c>
      <c r="K70" s="35" t="s">
        <v>320</v>
      </c>
      <c r="L70" s="35" t="s">
        <v>281</v>
      </c>
      <c r="M70" s="35" t="s">
        <v>282</v>
      </c>
      <c r="N70" s="35" t="s">
        <v>22</v>
      </c>
      <c r="O70" s="34" t="s">
        <v>130</v>
      </c>
      <c r="P70" s="35"/>
      <c r="Q70" s="35"/>
      <c r="R70" s="38"/>
      <c r="S70" s="33">
        <f t="shared" ref="S70:S83" si="9">T70/1.12</f>
        <v>3513392.8571428568</v>
      </c>
      <c r="T70" s="33">
        <v>3935000</v>
      </c>
      <c r="U70" s="33"/>
      <c r="V70" s="35">
        <v>2021</v>
      </c>
      <c r="W70" s="39"/>
      <c r="X70" s="63"/>
      <c r="Y70" s="63"/>
    </row>
    <row r="71" spans="2:25" s="36" customFormat="1" ht="65.099999999999994" customHeight="1" x14ac:dyDescent="0.2">
      <c r="B71" s="35" t="s">
        <v>46</v>
      </c>
      <c r="C71" s="35" t="s">
        <v>78</v>
      </c>
      <c r="D71" s="37" t="s">
        <v>165</v>
      </c>
      <c r="E71" s="35" t="s">
        <v>114</v>
      </c>
      <c r="F71" s="35" t="s">
        <v>222</v>
      </c>
      <c r="G71" s="35"/>
      <c r="H71" s="35" t="s">
        <v>23</v>
      </c>
      <c r="I71" s="34">
        <v>1</v>
      </c>
      <c r="J71" s="35">
        <v>710000000</v>
      </c>
      <c r="K71" s="35" t="s">
        <v>320</v>
      </c>
      <c r="L71" s="35" t="s">
        <v>285</v>
      </c>
      <c r="M71" s="35" t="s">
        <v>282</v>
      </c>
      <c r="N71" s="35" t="s">
        <v>22</v>
      </c>
      <c r="O71" s="34" t="s">
        <v>31</v>
      </c>
      <c r="P71" s="35" t="s">
        <v>28</v>
      </c>
      <c r="Q71" s="35"/>
      <c r="R71" s="38"/>
      <c r="S71" s="33">
        <f t="shared" si="9"/>
        <v>1071428.5714285714</v>
      </c>
      <c r="T71" s="33">
        <v>1200000</v>
      </c>
      <c r="U71" s="33"/>
      <c r="V71" s="35">
        <v>2021</v>
      </c>
      <c r="W71" s="39"/>
      <c r="X71" s="63"/>
      <c r="Y71" s="63"/>
    </row>
    <row r="72" spans="2:25" s="36" customFormat="1" ht="65.099999999999994" customHeight="1" x14ac:dyDescent="0.2">
      <c r="B72" s="35" t="s">
        <v>50</v>
      </c>
      <c r="C72" s="35" t="s">
        <v>78</v>
      </c>
      <c r="D72" s="37" t="s">
        <v>219</v>
      </c>
      <c r="E72" s="35" t="s">
        <v>220</v>
      </c>
      <c r="F72" s="35" t="s">
        <v>223</v>
      </c>
      <c r="G72" s="35"/>
      <c r="H72" s="35" t="s">
        <v>23</v>
      </c>
      <c r="I72" s="34">
        <v>1</v>
      </c>
      <c r="J72" s="35">
        <v>710000000</v>
      </c>
      <c r="K72" s="35" t="s">
        <v>320</v>
      </c>
      <c r="L72" s="35" t="s">
        <v>285</v>
      </c>
      <c r="M72" s="35" t="s">
        <v>282</v>
      </c>
      <c r="N72" s="35" t="s">
        <v>22</v>
      </c>
      <c r="O72" s="34" t="s">
        <v>31</v>
      </c>
      <c r="P72" s="35" t="s">
        <v>28</v>
      </c>
      <c r="Q72" s="35"/>
      <c r="R72" s="38"/>
      <c r="S72" s="33">
        <f t="shared" si="9"/>
        <v>2110714.2857142854</v>
      </c>
      <c r="T72" s="33">
        <v>2364000</v>
      </c>
      <c r="U72" s="33"/>
      <c r="V72" s="35">
        <v>2021</v>
      </c>
      <c r="W72" s="39"/>
      <c r="X72" s="63"/>
      <c r="Y72" s="63"/>
    </row>
    <row r="73" spans="2:25" s="36" customFormat="1" ht="65.099999999999994" customHeight="1" x14ac:dyDescent="0.2">
      <c r="B73" s="35" t="s">
        <v>51</v>
      </c>
      <c r="C73" s="35" t="s">
        <v>78</v>
      </c>
      <c r="D73" s="37" t="s">
        <v>164</v>
      </c>
      <c r="E73" s="35" t="s">
        <v>221</v>
      </c>
      <c r="F73" s="35" t="s">
        <v>221</v>
      </c>
      <c r="G73" s="35"/>
      <c r="H73" s="35" t="s">
        <v>23</v>
      </c>
      <c r="I73" s="34">
        <v>1</v>
      </c>
      <c r="J73" s="35">
        <v>710000000</v>
      </c>
      <c r="K73" s="35" t="s">
        <v>320</v>
      </c>
      <c r="L73" s="35" t="s">
        <v>281</v>
      </c>
      <c r="M73" s="35" t="s">
        <v>282</v>
      </c>
      <c r="N73" s="35" t="s">
        <v>22</v>
      </c>
      <c r="O73" s="34" t="s">
        <v>130</v>
      </c>
      <c r="P73" s="35" t="s">
        <v>28</v>
      </c>
      <c r="Q73" s="35"/>
      <c r="R73" s="38"/>
      <c r="S73" s="33">
        <f t="shared" si="9"/>
        <v>3374999.9999999995</v>
      </c>
      <c r="T73" s="33">
        <f>2500000+1280000</f>
        <v>3780000</v>
      </c>
      <c r="U73" s="33"/>
      <c r="V73" s="35">
        <v>2021</v>
      </c>
      <c r="W73" s="39"/>
      <c r="X73" s="63"/>
      <c r="Y73" s="63"/>
    </row>
    <row r="74" spans="2:25" s="36" customFormat="1" ht="65.099999999999994" customHeight="1" x14ac:dyDescent="0.2">
      <c r="B74" s="35" t="s">
        <v>52</v>
      </c>
      <c r="C74" s="35" t="s">
        <v>78</v>
      </c>
      <c r="D74" s="37" t="s">
        <v>163</v>
      </c>
      <c r="E74" s="35" t="s">
        <v>224</v>
      </c>
      <c r="F74" s="40" t="s">
        <v>283</v>
      </c>
      <c r="G74" s="35"/>
      <c r="H74" s="35" t="s">
        <v>23</v>
      </c>
      <c r="I74" s="34">
        <v>1</v>
      </c>
      <c r="J74" s="35">
        <v>710000000</v>
      </c>
      <c r="K74" s="35" t="s">
        <v>320</v>
      </c>
      <c r="L74" s="35" t="s">
        <v>281</v>
      </c>
      <c r="M74" s="35" t="s">
        <v>282</v>
      </c>
      <c r="N74" s="35" t="s">
        <v>22</v>
      </c>
      <c r="O74" s="34" t="s">
        <v>24</v>
      </c>
      <c r="P74" s="35" t="s">
        <v>28</v>
      </c>
      <c r="Q74" s="35"/>
      <c r="R74" s="38"/>
      <c r="S74" s="33">
        <f t="shared" si="9"/>
        <v>192857.14285714284</v>
      </c>
      <c r="T74" s="33">
        <v>216000</v>
      </c>
      <c r="U74" s="33"/>
      <c r="V74" s="35">
        <v>2021</v>
      </c>
      <c r="W74" s="39"/>
      <c r="X74" s="63"/>
      <c r="Y74" s="63"/>
    </row>
    <row r="75" spans="2:25" s="36" customFormat="1" ht="65.099999999999994" customHeight="1" x14ac:dyDescent="0.2">
      <c r="B75" s="35" t="s">
        <v>53</v>
      </c>
      <c r="C75" s="35" t="s">
        <v>78</v>
      </c>
      <c r="D75" s="37" t="s">
        <v>248</v>
      </c>
      <c r="E75" s="35" t="s">
        <v>249</v>
      </c>
      <c r="F75" s="35" t="s">
        <v>249</v>
      </c>
      <c r="G75" s="35"/>
      <c r="H75" s="35" t="s">
        <v>23</v>
      </c>
      <c r="I75" s="34">
        <v>1</v>
      </c>
      <c r="J75" s="35">
        <v>710000000</v>
      </c>
      <c r="K75" s="35" t="s">
        <v>320</v>
      </c>
      <c r="L75" s="35" t="s">
        <v>281</v>
      </c>
      <c r="M75" s="35" t="s">
        <v>282</v>
      </c>
      <c r="N75" s="35" t="s">
        <v>22</v>
      </c>
      <c r="O75" s="34" t="s">
        <v>31</v>
      </c>
      <c r="P75" s="35" t="s">
        <v>28</v>
      </c>
      <c r="Q75" s="35"/>
      <c r="R75" s="38"/>
      <c r="S75" s="33">
        <f t="shared" si="9"/>
        <v>1874999.9999999998</v>
      </c>
      <c r="T75" s="33">
        <v>2100000</v>
      </c>
      <c r="U75" s="33"/>
      <c r="V75" s="35">
        <v>2021</v>
      </c>
      <c r="W75" s="39"/>
      <c r="X75" s="63"/>
      <c r="Y75" s="63"/>
    </row>
    <row r="76" spans="2:25" s="36" customFormat="1" ht="65.099999999999994" customHeight="1" x14ac:dyDescent="0.2">
      <c r="B76" s="35" t="s">
        <v>54</v>
      </c>
      <c r="C76" s="35" t="s">
        <v>78</v>
      </c>
      <c r="D76" s="37" t="s">
        <v>250</v>
      </c>
      <c r="E76" s="35" t="s">
        <v>251</v>
      </c>
      <c r="F76" s="35" t="s">
        <v>251</v>
      </c>
      <c r="G76" s="35"/>
      <c r="H76" s="35" t="s">
        <v>23</v>
      </c>
      <c r="I76" s="34">
        <v>1</v>
      </c>
      <c r="J76" s="35">
        <v>710000000</v>
      </c>
      <c r="K76" s="35" t="s">
        <v>320</v>
      </c>
      <c r="L76" s="35" t="s">
        <v>281</v>
      </c>
      <c r="M76" s="35" t="s">
        <v>282</v>
      </c>
      <c r="N76" s="35" t="s">
        <v>22</v>
      </c>
      <c r="O76" s="34" t="s">
        <v>130</v>
      </c>
      <c r="P76" s="35" t="s">
        <v>28</v>
      </c>
      <c r="Q76" s="35"/>
      <c r="R76" s="38"/>
      <c r="S76" s="33">
        <f t="shared" si="9"/>
        <v>1107142.857142857</v>
      </c>
      <c r="T76" s="33">
        <v>1240000</v>
      </c>
      <c r="U76" s="33"/>
      <c r="V76" s="35">
        <v>2021</v>
      </c>
      <c r="W76" s="39"/>
      <c r="X76" s="63"/>
      <c r="Y76" s="63"/>
    </row>
    <row r="77" spans="2:25" s="36" customFormat="1" ht="118.15" customHeight="1" x14ac:dyDescent="0.2">
      <c r="B77" s="35" t="s">
        <v>55</v>
      </c>
      <c r="C77" s="35" t="s">
        <v>78</v>
      </c>
      <c r="D77" s="37" t="s">
        <v>289</v>
      </c>
      <c r="E77" s="35" t="s">
        <v>290</v>
      </c>
      <c r="F77" s="35" t="s">
        <v>291</v>
      </c>
      <c r="G77" s="35"/>
      <c r="H77" s="35" t="s">
        <v>23</v>
      </c>
      <c r="I77" s="34">
        <v>1</v>
      </c>
      <c r="J77" s="35">
        <v>710000000</v>
      </c>
      <c r="K77" s="35" t="s">
        <v>320</v>
      </c>
      <c r="L77" s="35" t="s">
        <v>281</v>
      </c>
      <c r="M77" s="35" t="s">
        <v>282</v>
      </c>
      <c r="N77" s="35" t="s">
        <v>22</v>
      </c>
      <c r="O77" s="34" t="s">
        <v>130</v>
      </c>
      <c r="P77" s="35" t="s">
        <v>28</v>
      </c>
      <c r="Q77" s="35"/>
      <c r="R77" s="38"/>
      <c r="S77" s="33">
        <f t="shared" si="9"/>
        <v>4285714.2857142854</v>
      </c>
      <c r="T77" s="33">
        <v>4800000</v>
      </c>
      <c r="U77" s="33"/>
      <c r="V77" s="35">
        <v>2021</v>
      </c>
      <c r="W77" s="39"/>
      <c r="X77" s="63"/>
      <c r="Y77" s="63"/>
    </row>
    <row r="78" spans="2:25" s="36" customFormat="1" ht="65.099999999999994" customHeight="1" x14ac:dyDescent="0.2">
      <c r="B78" s="35" t="s">
        <v>56</v>
      </c>
      <c r="C78" s="35" t="s">
        <v>78</v>
      </c>
      <c r="D78" s="37" t="s">
        <v>276</v>
      </c>
      <c r="E78" s="35" t="s">
        <v>277</v>
      </c>
      <c r="F78" s="35" t="s">
        <v>278</v>
      </c>
      <c r="G78" s="35" t="s">
        <v>279</v>
      </c>
      <c r="H78" s="35" t="s">
        <v>23</v>
      </c>
      <c r="I78" s="34">
        <v>1</v>
      </c>
      <c r="J78" s="35">
        <v>710000000</v>
      </c>
      <c r="K78" s="35" t="s">
        <v>320</v>
      </c>
      <c r="L78" s="35" t="s">
        <v>285</v>
      </c>
      <c r="M78" s="35" t="s">
        <v>282</v>
      </c>
      <c r="N78" s="35" t="s">
        <v>22</v>
      </c>
      <c r="O78" s="34" t="s">
        <v>31</v>
      </c>
      <c r="P78" s="35" t="s">
        <v>28</v>
      </c>
      <c r="Q78" s="35"/>
      <c r="R78" s="38"/>
      <c r="S78" s="33">
        <f t="shared" si="9"/>
        <v>11606496.428571427</v>
      </c>
      <c r="T78" s="33">
        <v>12999276</v>
      </c>
      <c r="U78" s="33"/>
      <c r="V78" s="35">
        <v>2021</v>
      </c>
      <c r="W78" s="39"/>
      <c r="X78" s="63"/>
      <c r="Y78" s="63"/>
    </row>
    <row r="79" spans="2:25" s="36" customFormat="1" ht="65.099999999999994" customHeight="1" x14ac:dyDescent="0.2">
      <c r="B79" s="35" t="s">
        <v>292</v>
      </c>
      <c r="C79" s="35" t="s">
        <v>78</v>
      </c>
      <c r="D79" s="37" t="s">
        <v>299</v>
      </c>
      <c r="E79" s="35" t="s">
        <v>300</v>
      </c>
      <c r="F79" s="35" t="s">
        <v>300</v>
      </c>
      <c r="G79" s="35" t="s">
        <v>301</v>
      </c>
      <c r="H79" s="35" t="s">
        <v>23</v>
      </c>
      <c r="I79" s="34">
        <v>1</v>
      </c>
      <c r="J79" s="35">
        <v>710000000</v>
      </c>
      <c r="K79" s="35" t="s">
        <v>320</v>
      </c>
      <c r="L79" s="35" t="s">
        <v>294</v>
      </c>
      <c r="M79" s="35" t="s">
        <v>282</v>
      </c>
      <c r="N79" s="35" t="s">
        <v>22</v>
      </c>
      <c r="O79" s="34" t="s">
        <v>295</v>
      </c>
      <c r="P79" s="35" t="s">
        <v>28</v>
      </c>
      <c r="Q79" s="35"/>
      <c r="R79" s="38"/>
      <c r="S79" s="33">
        <f t="shared" si="9"/>
        <v>2410714.2857142854</v>
      </c>
      <c r="T79" s="33">
        <v>2700000</v>
      </c>
      <c r="U79" s="33"/>
      <c r="V79" s="35">
        <v>2021</v>
      </c>
      <c r="W79" s="39"/>
      <c r="X79" s="63"/>
      <c r="Y79" s="63"/>
    </row>
    <row r="80" spans="2:25" s="36" customFormat="1" ht="65.099999999999994" customHeight="1" x14ac:dyDescent="0.2">
      <c r="B80" s="35" t="s">
        <v>293</v>
      </c>
      <c r="C80" s="35" t="s">
        <v>78</v>
      </c>
      <c r="D80" s="37" t="s">
        <v>296</v>
      </c>
      <c r="E80" s="35" t="s">
        <v>297</v>
      </c>
      <c r="F80" s="40" t="s">
        <v>297</v>
      </c>
      <c r="G80" s="35" t="s">
        <v>298</v>
      </c>
      <c r="H80" s="35" t="s">
        <v>23</v>
      </c>
      <c r="I80" s="34">
        <v>1</v>
      </c>
      <c r="J80" s="35">
        <v>710000000</v>
      </c>
      <c r="K80" s="35" t="s">
        <v>320</v>
      </c>
      <c r="L80" s="35" t="s">
        <v>294</v>
      </c>
      <c r="M80" s="35" t="s">
        <v>282</v>
      </c>
      <c r="N80" s="35" t="s">
        <v>22</v>
      </c>
      <c r="O80" s="34" t="s">
        <v>130</v>
      </c>
      <c r="P80" s="35" t="s">
        <v>28</v>
      </c>
      <c r="Q80" s="35"/>
      <c r="R80" s="38"/>
      <c r="S80" s="33">
        <f t="shared" si="9"/>
        <v>2499999.9999999995</v>
      </c>
      <c r="T80" s="33">
        <v>2800000</v>
      </c>
      <c r="U80" s="33"/>
      <c r="V80" s="35">
        <v>2021</v>
      </c>
      <c r="W80" s="39"/>
      <c r="X80" s="63"/>
      <c r="Y80" s="63"/>
    </row>
    <row r="81" spans="2:28" s="36" customFormat="1" ht="65.099999999999994" customHeight="1" x14ac:dyDescent="0.2">
      <c r="B81" s="35" t="s">
        <v>307</v>
      </c>
      <c r="C81" s="35" t="s">
        <v>78</v>
      </c>
      <c r="D81" s="37" t="s">
        <v>311</v>
      </c>
      <c r="E81" s="60" t="s">
        <v>316</v>
      </c>
      <c r="F81" s="60" t="s">
        <v>310</v>
      </c>
      <c r="G81" s="35"/>
      <c r="H81" s="35" t="s">
        <v>23</v>
      </c>
      <c r="I81" s="34">
        <v>1</v>
      </c>
      <c r="J81" s="35">
        <v>710000000</v>
      </c>
      <c r="K81" s="35" t="s">
        <v>320</v>
      </c>
      <c r="L81" s="35" t="s">
        <v>280</v>
      </c>
      <c r="M81" s="35" t="s">
        <v>282</v>
      </c>
      <c r="N81" s="35" t="s">
        <v>22</v>
      </c>
      <c r="O81" s="34" t="s">
        <v>321</v>
      </c>
      <c r="P81" s="35" t="s">
        <v>28</v>
      </c>
      <c r="Q81" s="35"/>
      <c r="R81" s="38"/>
      <c r="S81" s="33">
        <v>2000000</v>
      </c>
      <c r="T81" s="33"/>
      <c r="U81" s="33"/>
      <c r="V81" s="35">
        <v>2021</v>
      </c>
      <c r="W81" s="39"/>
      <c r="X81" s="63"/>
      <c r="Y81" s="63"/>
    </row>
    <row r="82" spans="2:28" s="36" customFormat="1" ht="65.099999999999994" customHeight="1" x14ac:dyDescent="0.2">
      <c r="B82" s="35" t="s">
        <v>308</v>
      </c>
      <c r="C82" s="35" t="s">
        <v>78</v>
      </c>
      <c r="D82" s="37" t="s">
        <v>317</v>
      </c>
      <c r="E82" s="60" t="s">
        <v>318</v>
      </c>
      <c r="F82" s="60" t="s">
        <v>312</v>
      </c>
      <c r="G82" s="35"/>
      <c r="H82" s="35" t="s">
        <v>23</v>
      </c>
      <c r="I82" s="34">
        <v>1</v>
      </c>
      <c r="J82" s="35">
        <v>710000000</v>
      </c>
      <c r="K82" s="35" t="s">
        <v>320</v>
      </c>
      <c r="L82" s="35" t="s">
        <v>319</v>
      </c>
      <c r="M82" s="35" t="s">
        <v>282</v>
      </c>
      <c r="N82" s="35" t="s">
        <v>22</v>
      </c>
      <c r="O82" s="34" t="s">
        <v>31</v>
      </c>
      <c r="P82" s="35" t="s">
        <v>28</v>
      </c>
      <c r="Q82" s="35"/>
      <c r="R82" s="38"/>
      <c r="S82" s="33">
        <f t="shared" si="9"/>
        <v>2089285.7142857141</v>
      </c>
      <c r="T82" s="33">
        <v>2340000</v>
      </c>
      <c r="U82" s="33"/>
      <c r="V82" s="35">
        <v>2021</v>
      </c>
      <c r="W82" s="39"/>
      <c r="X82" s="63"/>
      <c r="Y82" s="63"/>
    </row>
    <row r="83" spans="2:28" s="36" customFormat="1" ht="84" customHeight="1" x14ac:dyDescent="0.2">
      <c r="B83" s="35" t="s">
        <v>309</v>
      </c>
      <c r="C83" s="35" t="s">
        <v>78</v>
      </c>
      <c r="D83" s="37" t="s">
        <v>314</v>
      </c>
      <c r="E83" s="60" t="s">
        <v>315</v>
      </c>
      <c r="F83" s="60" t="s">
        <v>313</v>
      </c>
      <c r="G83" s="35"/>
      <c r="H83" s="35" t="s">
        <v>23</v>
      </c>
      <c r="I83" s="34">
        <v>1</v>
      </c>
      <c r="J83" s="35">
        <v>710000000</v>
      </c>
      <c r="K83" s="35" t="s">
        <v>320</v>
      </c>
      <c r="L83" s="35" t="s">
        <v>319</v>
      </c>
      <c r="M83" s="35" t="s">
        <v>282</v>
      </c>
      <c r="N83" s="35" t="s">
        <v>22</v>
      </c>
      <c r="O83" s="34" t="s">
        <v>31</v>
      </c>
      <c r="P83" s="35" t="s">
        <v>28</v>
      </c>
      <c r="Q83" s="35"/>
      <c r="R83" s="38"/>
      <c r="S83" s="33">
        <f t="shared" si="9"/>
        <v>69642.85714285713</v>
      </c>
      <c r="T83" s="33">
        <v>78000</v>
      </c>
      <c r="U83" s="33"/>
      <c r="V83" s="35">
        <v>2021</v>
      </c>
      <c r="W83" s="39"/>
      <c r="X83" s="63"/>
      <c r="Y83" s="63"/>
    </row>
    <row r="84" spans="2:28" s="5" customFormat="1" ht="30" customHeight="1" x14ac:dyDescent="0.2">
      <c r="B84" s="68" t="s">
        <v>38</v>
      </c>
      <c r="C84" s="68"/>
      <c r="D84" s="68"/>
      <c r="E84" s="68"/>
      <c r="F84" s="68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35"/>
      <c r="S84" s="29">
        <f>SUM(S55:S83)</f>
        <v>108392710.71428567</v>
      </c>
      <c r="T84" s="29">
        <f>SUM(T55:T83)</f>
        <v>114189276</v>
      </c>
      <c r="U84" s="26"/>
      <c r="V84" s="26"/>
      <c r="W84" s="30"/>
      <c r="X84" s="63"/>
      <c r="Y84" s="63"/>
      <c r="Z84" s="23"/>
    </row>
    <row r="85" spans="2:28" s="5" customFormat="1" ht="30" customHeight="1" x14ac:dyDescent="0.2">
      <c r="B85" s="68" t="s">
        <v>39</v>
      </c>
      <c r="C85" s="68"/>
      <c r="D85" s="68"/>
      <c r="E85" s="68"/>
      <c r="F85" s="68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 t="s">
        <v>26</v>
      </c>
      <c r="R85" s="35"/>
      <c r="S85" s="29">
        <f>SUM(S53+S84)</f>
        <v>111662016.96428567</v>
      </c>
      <c r="T85" s="29">
        <f>T53+T84</f>
        <v>117850899</v>
      </c>
      <c r="U85" s="26"/>
      <c r="V85" s="26"/>
      <c r="W85" s="30"/>
      <c r="X85" s="63"/>
      <c r="Y85" s="63"/>
      <c r="Z85" s="23"/>
    </row>
    <row r="86" spans="2:28" ht="15" x14ac:dyDescent="0.2">
      <c r="B86" s="31"/>
      <c r="C86" s="31"/>
      <c r="D86" s="31"/>
      <c r="E86" s="55"/>
      <c r="F86" s="5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55"/>
      <c r="S86" s="55" t="s">
        <v>45</v>
      </c>
      <c r="T86" s="55" t="s">
        <v>227</v>
      </c>
      <c r="U86" s="31"/>
      <c r="V86" s="31"/>
      <c r="W86" s="31"/>
      <c r="X86" s="63"/>
      <c r="Y86" s="63"/>
      <c r="Z86" s="8"/>
      <c r="AA86" s="4"/>
      <c r="AB86" s="4"/>
    </row>
    <row r="87" spans="2:28" x14ac:dyDescent="0.2">
      <c r="B87" s="1"/>
      <c r="C87" s="1"/>
      <c r="D87" s="1"/>
      <c r="E87" s="46"/>
      <c r="F87" s="46"/>
      <c r="G87" s="1"/>
      <c r="H87" s="1"/>
      <c r="I87" s="1"/>
      <c r="J87" s="1"/>
      <c r="K87" s="1"/>
      <c r="L87" s="1"/>
      <c r="M87" s="1"/>
      <c r="N87" s="1"/>
      <c r="O87" s="3"/>
      <c r="P87" s="3"/>
      <c r="Q87" s="3"/>
      <c r="R87" s="56"/>
      <c r="S87" s="56"/>
      <c r="T87" s="56"/>
      <c r="U87" s="3"/>
      <c r="V87" s="2"/>
      <c r="W87" s="2"/>
      <c r="X87" s="63"/>
      <c r="Y87" s="63"/>
      <c r="Z87" s="8"/>
      <c r="AA87" s="4"/>
      <c r="AB87" s="4"/>
    </row>
    <row r="88" spans="2:28" x14ac:dyDescent="0.2">
      <c r="B88" s="1"/>
      <c r="C88" s="1"/>
      <c r="D88" s="1"/>
      <c r="E88" s="46"/>
      <c r="F88" s="46"/>
      <c r="G88" s="1"/>
      <c r="H88" s="1"/>
      <c r="I88" s="1"/>
      <c r="J88" s="1"/>
      <c r="L88" s="1"/>
      <c r="M88" s="1"/>
      <c r="N88" s="1"/>
      <c r="O88" s="3"/>
      <c r="P88" s="3"/>
      <c r="Q88" s="3"/>
      <c r="R88" s="56"/>
      <c r="S88" s="56"/>
      <c r="T88" s="56"/>
      <c r="U88" s="3"/>
      <c r="V88" s="3"/>
      <c r="W88" s="3"/>
      <c r="X88" s="63"/>
      <c r="Y88" s="63"/>
      <c r="Z88" s="41"/>
      <c r="AA88" s="4"/>
      <c r="AB88" s="4"/>
    </row>
    <row r="89" spans="2:28" x14ac:dyDescent="0.2">
      <c r="B89" s="1"/>
      <c r="C89" s="1"/>
      <c r="D89" s="1"/>
      <c r="E89" s="46"/>
      <c r="F89" s="46"/>
      <c r="G89" s="1"/>
      <c r="H89" s="1"/>
      <c r="I89" s="1"/>
      <c r="J89" s="1"/>
      <c r="K89" s="1"/>
      <c r="L89" s="1"/>
      <c r="M89" s="1"/>
      <c r="N89" s="1"/>
      <c r="O89" s="3"/>
      <c r="P89" s="3"/>
      <c r="Q89" s="3"/>
      <c r="R89" s="56"/>
      <c r="S89" s="56"/>
      <c r="T89" s="56"/>
      <c r="U89" s="3"/>
      <c r="V89" s="3"/>
      <c r="W89" s="3"/>
      <c r="X89" s="1"/>
      <c r="Y89" s="1"/>
      <c r="Z89" s="8"/>
      <c r="AA89" s="4"/>
      <c r="AB89" s="4"/>
    </row>
    <row r="90" spans="2:28" x14ac:dyDescent="0.2">
      <c r="B90" s="1"/>
      <c r="C90" s="1"/>
      <c r="D90" s="1"/>
      <c r="E90" s="46"/>
      <c r="F90" s="46"/>
      <c r="G90" s="1"/>
      <c r="H90" s="1"/>
      <c r="I90" s="1"/>
      <c r="J90" s="1"/>
      <c r="K90" s="1"/>
      <c r="L90" s="1"/>
      <c r="M90" s="1"/>
      <c r="N90" s="1"/>
      <c r="O90" s="3"/>
      <c r="P90" s="3"/>
      <c r="Q90" s="3"/>
      <c r="R90" s="56"/>
      <c r="S90" s="56"/>
      <c r="T90" s="56"/>
      <c r="U90" s="3"/>
      <c r="V90" s="3"/>
      <c r="W90" s="3"/>
      <c r="X90" s="1"/>
      <c r="Y90" s="1"/>
      <c r="Z90" s="8"/>
      <c r="AA90" s="4"/>
      <c r="AB90" s="4"/>
    </row>
    <row r="91" spans="2:28" x14ac:dyDescent="0.2">
      <c r="B91" s="1"/>
      <c r="C91" s="1"/>
      <c r="D91" s="1"/>
      <c r="E91" s="46"/>
      <c r="F91" s="46"/>
      <c r="G91" s="1"/>
      <c r="H91" s="1"/>
      <c r="I91" s="1"/>
      <c r="J91" s="1"/>
      <c r="K91" s="1"/>
      <c r="L91" s="1"/>
      <c r="M91" s="1"/>
      <c r="N91" s="1"/>
      <c r="O91" s="3"/>
      <c r="P91" s="3"/>
      <c r="Q91" s="3"/>
      <c r="R91" s="56"/>
      <c r="S91" s="56"/>
      <c r="T91" s="56"/>
      <c r="U91" s="3"/>
      <c r="V91" s="3"/>
      <c r="W91" s="3"/>
      <c r="X91" s="1"/>
      <c r="Y91" s="1"/>
      <c r="Z91" s="8"/>
      <c r="AA91" s="4"/>
      <c r="AB91" s="4"/>
    </row>
    <row r="92" spans="2:28" x14ac:dyDescent="0.2">
      <c r="B92" s="1"/>
      <c r="C92" s="1"/>
      <c r="D92" s="1"/>
      <c r="E92" s="46"/>
      <c r="F92" s="46"/>
      <c r="G92" s="1"/>
      <c r="H92" s="1"/>
      <c r="I92" s="1"/>
      <c r="J92" s="1"/>
      <c r="K92" s="1"/>
      <c r="L92" s="1"/>
      <c r="M92" s="1"/>
      <c r="N92" s="1"/>
      <c r="O92" s="3"/>
      <c r="P92" s="3"/>
      <c r="Q92" s="3"/>
      <c r="R92" s="56"/>
      <c r="S92" s="56"/>
      <c r="T92" s="56"/>
      <c r="U92" s="3"/>
      <c r="V92" s="3"/>
      <c r="W92" s="3"/>
      <c r="X92" s="1"/>
      <c r="Y92" s="1"/>
      <c r="Z92" s="8"/>
      <c r="AA92" s="4"/>
      <c r="AB92" s="4"/>
    </row>
    <row r="93" spans="2:28" x14ac:dyDescent="0.2">
      <c r="B93" s="1"/>
      <c r="C93" s="1"/>
      <c r="D93" s="1"/>
      <c r="E93" s="46"/>
      <c r="F93" s="46"/>
      <c r="G93" s="1"/>
      <c r="H93" s="1"/>
      <c r="I93" s="1"/>
      <c r="J93" s="1"/>
      <c r="K93" s="1"/>
      <c r="L93" s="1"/>
      <c r="M93" s="1"/>
      <c r="N93" s="1"/>
      <c r="O93" s="3"/>
      <c r="P93" s="3"/>
      <c r="Q93" s="3"/>
      <c r="R93" s="56"/>
      <c r="S93" s="56"/>
      <c r="T93" s="56"/>
      <c r="U93" s="3"/>
      <c r="V93" s="3"/>
      <c r="W93" s="3"/>
      <c r="X93" s="1"/>
      <c r="Y93" s="1"/>
      <c r="Z93" s="8"/>
      <c r="AA93" s="4"/>
      <c r="AB93" s="4"/>
    </row>
    <row r="94" spans="2:28" x14ac:dyDescent="0.2">
      <c r="B94" s="1"/>
      <c r="C94" s="1"/>
      <c r="D94" s="1"/>
      <c r="E94" s="46"/>
      <c r="F94" s="46"/>
      <c r="G94" s="1"/>
      <c r="H94" s="1"/>
      <c r="I94" s="1"/>
      <c r="J94" s="1"/>
      <c r="K94" s="1"/>
      <c r="L94" s="1"/>
      <c r="M94" s="1"/>
      <c r="N94" s="1"/>
      <c r="O94" s="3"/>
      <c r="P94" s="3"/>
      <c r="Q94" s="3"/>
      <c r="R94" s="56"/>
      <c r="S94" s="56"/>
      <c r="T94" s="56"/>
      <c r="U94" s="3"/>
      <c r="V94" s="3"/>
      <c r="W94" s="3"/>
      <c r="X94" s="1"/>
      <c r="Y94" s="1"/>
      <c r="Z94" s="8"/>
      <c r="AA94" s="4"/>
      <c r="AB94" s="4"/>
    </row>
    <row r="95" spans="2:28" x14ac:dyDescent="0.2">
      <c r="B95" s="1"/>
      <c r="C95" s="1"/>
      <c r="D95" s="1"/>
      <c r="E95" s="46"/>
      <c r="F95" s="46"/>
      <c r="G95" s="1"/>
      <c r="H95" s="1"/>
      <c r="I95" s="1"/>
      <c r="J95" s="1"/>
      <c r="K95" s="1"/>
      <c r="L95" s="1"/>
      <c r="M95" s="1"/>
      <c r="N95" s="1"/>
      <c r="O95" s="3"/>
      <c r="P95" s="3"/>
      <c r="Q95" s="3"/>
      <c r="R95" s="56"/>
      <c r="S95" s="56"/>
      <c r="T95" s="56"/>
      <c r="U95" s="3"/>
      <c r="V95" s="3"/>
      <c r="W95" s="3"/>
      <c r="X95" s="1"/>
      <c r="Y95" s="1"/>
      <c r="Z95" s="8"/>
      <c r="AA95" s="4"/>
      <c r="AB95" s="4"/>
    </row>
    <row r="96" spans="2:28" x14ac:dyDescent="0.2">
      <c r="B96" s="1"/>
      <c r="C96" s="1"/>
      <c r="D96" s="1"/>
      <c r="E96" s="46"/>
      <c r="F96" s="46"/>
      <c r="G96" s="1"/>
      <c r="H96" s="1"/>
      <c r="I96" s="1"/>
      <c r="J96" s="1"/>
      <c r="K96" s="1"/>
      <c r="L96" s="1"/>
      <c r="M96" s="1"/>
      <c r="N96" s="1"/>
      <c r="O96" s="3"/>
      <c r="P96" s="3"/>
      <c r="Q96" s="3"/>
      <c r="R96" s="56"/>
      <c r="S96" s="56"/>
      <c r="T96" s="56"/>
      <c r="U96" s="3"/>
      <c r="V96" s="3"/>
      <c r="W96" s="3"/>
      <c r="X96" s="1"/>
      <c r="Y96" s="1"/>
      <c r="Z96" s="8"/>
      <c r="AA96" s="4"/>
      <c r="AB96" s="4"/>
    </row>
    <row r="97" spans="2:28" x14ac:dyDescent="0.2">
      <c r="B97" s="1"/>
      <c r="C97" s="1"/>
      <c r="D97" s="1"/>
      <c r="E97" s="46"/>
      <c r="F97" s="46"/>
      <c r="G97" s="1"/>
      <c r="H97" s="1"/>
      <c r="I97" s="1"/>
      <c r="J97" s="1"/>
      <c r="K97" s="1"/>
      <c r="L97" s="1"/>
      <c r="M97" s="1"/>
      <c r="N97" s="1"/>
      <c r="O97" s="3"/>
      <c r="P97" s="3"/>
      <c r="Q97" s="3"/>
      <c r="R97" s="56"/>
      <c r="S97" s="56"/>
      <c r="T97" s="56"/>
      <c r="U97" s="3"/>
      <c r="V97" s="3"/>
      <c r="W97" s="3"/>
      <c r="X97" s="1"/>
      <c r="Y97" s="1"/>
      <c r="Z97" s="8"/>
      <c r="AA97" s="4"/>
      <c r="AB97" s="4"/>
    </row>
    <row r="98" spans="2:28" x14ac:dyDescent="0.2">
      <c r="B98" s="1"/>
      <c r="C98" s="1"/>
      <c r="D98" s="1"/>
      <c r="E98" s="46"/>
      <c r="F98" s="46"/>
      <c r="G98" s="1"/>
      <c r="H98" s="1"/>
      <c r="I98" s="1"/>
      <c r="J98" s="1"/>
      <c r="K98" s="1"/>
      <c r="L98" s="1"/>
      <c r="M98" s="1"/>
      <c r="N98" s="1"/>
      <c r="O98" s="3"/>
      <c r="P98" s="3"/>
      <c r="Q98" s="3"/>
      <c r="R98" s="56"/>
      <c r="S98" s="56"/>
      <c r="T98" s="56"/>
      <c r="U98" s="3"/>
      <c r="V98" s="3"/>
      <c r="W98" s="3"/>
      <c r="X98" s="1"/>
      <c r="Y98" s="1"/>
      <c r="Z98" s="8"/>
      <c r="AA98" s="4"/>
      <c r="AB98" s="4"/>
    </row>
    <row r="99" spans="2:28" x14ac:dyDescent="0.2">
      <c r="B99" s="1"/>
      <c r="C99" s="1"/>
      <c r="D99" s="1"/>
      <c r="E99" s="46"/>
      <c r="F99" s="46"/>
      <c r="G99" s="1"/>
      <c r="H99" s="1"/>
      <c r="I99" s="1"/>
      <c r="J99" s="1"/>
      <c r="K99" s="1"/>
      <c r="L99" s="1"/>
      <c r="M99" s="1"/>
      <c r="N99" s="1"/>
      <c r="O99" s="3"/>
      <c r="P99" s="3"/>
      <c r="Q99" s="3"/>
      <c r="R99" s="56"/>
      <c r="S99" s="56"/>
      <c r="T99" s="56"/>
      <c r="U99" s="3"/>
      <c r="V99" s="3"/>
      <c r="W99" s="3"/>
      <c r="X99" s="1"/>
      <c r="Y99" s="1"/>
      <c r="Z99" s="8"/>
      <c r="AA99" s="4"/>
      <c r="AB99" s="4"/>
    </row>
    <row r="100" spans="2:28" x14ac:dyDescent="0.2">
      <c r="F100" s="46"/>
    </row>
  </sheetData>
  <autoFilter ref="B8:W8"/>
  <mergeCells count="11">
    <mergeCell ref="X10:Y88"/>
    <mergeCell ref="I5:U5"/>
    <mergeCell ref="B53:F53"/>
    <mergeCell ref="B54:W54"/>
    <mergeCell ref="X1:Y9"/>
    <mergeCell ref="K1:W1"/>
    <mergeCell ref="B9:W9"/>
    <mergeCell ref="B84:F84"/>
    <mergeCell ref="B85:F85"/>
    <mergeCell ref="O3:W3"/>
    <mergeCell ref="O2:W2"/>
  </mergeCells>
  <hyperlinks>
    <hyperlink ref="D61" r:id="rId1"/>
    <hyperlink ref="D67" r:id="rId2"/>
    <hyperlink ref="D49" r:id="rId3"/>
    <hyperlink ref="D66" r:id="rId4"/>
    <hyperlink ref="D50" r:id="rId5"/>
    <hyperlink ref="D25" r:id="rId6"/>
    <hyperlink ref="D24" r:id="rId7"/>
    <hyperlink ref="D63" r:id="rId8"/>
    <hyperlink ref="D64" r:id="rId9"/>
    <hyperlink ref="D75" r:id="rId10"/>
    <hyperlink ref="D76" r:id="rId11"/>
    <hyperlink ref="D51" r:id="rId12"/>
    <hyperlink ref="D59" r:id="rId13"/>
    <hyperlink ref="D78" r:id="rId14"/>
    <hyperlink ref="D80" r:id="rId15" display="https://enstru.kz/code_new.jsp?&amp;t=%D1%81%D0%B0%D0%B9%D1%82&amp;s=common&amp;st=all&amp;p=10&amp;n=0&amp;S=631112%2E000&amp;N=%D0%A3%D1%81%D0%BB%D1%83%D0%B3%D0%B8%20%D0%BF%D0%BE%20%D0%B8%D0%BD%D1%84%D0%BE%D1%80%D0%BC%D0%B0%D1%86%D0%B8%D0%BE%D0%BD%D0%BD%D0%BE%D0%B9%20%D0%BF%D0%BE%D0%B4%D0%B4%D0%B5%D1%80%D0%B6%D0%BA%D0%B5%20%D1%81%D0%B0%D0%B9%D1%82%D0%BE%D0%B2&amp;fc=1&amp;fg=0&amp;new=631112.000.000001"/>
    <hyperlink ref="D79" r:id="rId16" display="https://enstru.kz/code_new.jsp?&amp;t=%D0%BF%D1%80%D0%BE%D0%B3%D1%80%D0%B0%D0%BC&amp;s=common&amp;st=all&amp;p=10&amp;n=0&amp;S=620111%2E900&amp;N=%D0%A3%D1%81%D0%BB%D1%83%D0%B3%D0%B8%20%D0%BF%D0%BE%20%D0%BC%D0%BE%D0%B4%D0%B8%D1%84%D0%B8%D0%BA%D0%B0%D1%86%D0%B8%D0%B8%20%D0%BF%D1%80%D0%BE%D0%B3%D1%80%D0%B0%D0%BC%D0%BC%D0%BD%D0%BE%D0%B3%D0%BE%20%D0%BE%D0%B1%D0%B5%D1%81%D0%BF%D0%B5%D1%87%D0%B5%D0%BD%D0%B8%D1%8F&amp;fc=1&amp;fg=0&amp;new=620111.900.000002"/>
    <hyperlink ref="D52" r:id="rId17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</hyperlinks>
  <pageMargins left="0.43307086614173229" right="0.23622047244094488" top="0.74803149606299213" bottom="0.74803149606299213" header="0.31496062992125984" footer="0.31496062992125984"/>
  <pageSetup paperSize="9" scale="35" fitToHeight="0" orientation="landscape" r:id="rId1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B13" sqref="B13"/>
    </sheetView>
  </sheetViews>
  <sheetFormatPr defaultRowHeight="12.75" x14ac:dyDescent="0.2"/>
  <cols>
    <col min="1" max="1" width="1.140625" customWidth="1"/>
    <col min="2" max="2" width="64.42578125" customWidth="1"/>
    <col min="3" max="3" width="1.7109375" customWidth="1"/>
    <col min="4" max="4" width="5.5703125" customWidth="1"/>
    <col min="5" max="6" width="16" customWidth="1"/>
  </cols>
  <sheetData>
    <row r="1" spans="2:6" ht="25.5" x14ac:dyDescent="0.2">
      <c r="B1" s="9" t="s">
        <v>132</v>
      </c>
      <c r="C1" s="9"/>
      <c r="D1" s="15"/>
      <c r="E1" s="15"/>
      <c r="F1" s="15"/>
    </row>
    <row r="2" spans="2:6" x14ac:dyDescent="0.2">
      <c r="B2" s="9" t="s">
        <v>133</v>
      </c>
      <c r="C2" s="9"/>
      <c r="D2" s="15"/>
      <c r="E2" s="15"/>
      <c r="F2" s="15"/>
    </row>
    <row r="3" spans="2:6" x14ac:dyDescent="0.2">
      <c r="B3" s="10"/>
      <c r="C3" s="10"/>
      <c r="D3" s="16"/>
      <c r="E3" s="16"/>
      <c r="F3" s="16"/>
    </row>
    <row r="4" spans="2:6" ht="51" x14ac:dyDescent="0.2">
      <c r="B4" s="10" t="s">
        <v>134</v>
      </c>
      <c r="C4" s="10"/>
      <c r="D4" s="16"/>
      <c r="E4" s="16"/>
      <c r="F4" s="16"/>
    </row>
    <row r="5" spans="2:6" x14ac:dyDescent="0.2">
      <c r="B5" s="10"/>
      <c r="C5" s="10"/>
      <c r="D5" s="16"/>
      <c r="E5" s="16"/>
      <c r="F5" s="16"/>
    </row>
    <row r="6" spans="2:6" ht="25.5" x14ac:dyDescent="0.2">
      <c r="B6" s="9" t="s">
        <v>135</v>
      </c>
      <c r="C6" s="9"/>
      <c r="D6" s="15"/>
      <c r="E6" s="15" t="s">
        <v>136</v>
      </c>
      <c r="F6" s="15" t="s">
        <v>137</v>
      </c>
    </row>
    <row r="7" spans="2:6" ht="13.5" thickBot="1" x14ac:dyDescent="0.25">
      <c r="B7" s="10"/>
      <c r="C7" s="10"/>
      <c r="D7" s="16"/>
      <c r="E7" s="16"/>
      <c r="F7" s="16"/>
    </row>
    <row r="8" spans="2:6" ht="51" x14ac:dyDescent="0.2">
      <c r="B8" s="11" t="s">
        <v>138</v>
      </c>
      <c r="C8" s="12"/>
      <c r="D8" s="17"/>
      <c r="E8" s="17">
        <v>1</v>
      </c>
      <c r="F8" s="18"/>
    </row>
    <row r="9" spans="2:6" ht="39" thickBot="1" x14ac:dyDescent="0.25">
      <c r="B9" s="13"/>
      <c r="C9" s="14"/>
      <c r="D9" s="19"/>
      <c r="E9" s="20" t="s">
        <v>139</v>
      </c>
      <c r="F9" s="21" t="s">
        <v>140</v>
      </c>
    </row>
    <row r="10" spans="2:6" x14ac:dyDescent="0.2">
      <c r="B10" s="10"/>
      <c r="C10" s="10"/>
      <c r="D10" s="16"/>
      <c r="E10" s="16"/>
      <c r="F10" s="16"/>
    </row>
    <row r="11" spans="2:6" x14ac:dyDescent="0.2">
      <c r="B11" s="10"/>
      <c r="C11" s="10"/>
      <c r="D11" s="16"/>
      <c r="E11" s="16"/>
      <c r="F11" s="16"/>
    </row>
  </sheetData>
  <hyperlinks>
    <hyperlink ref="E9" display="'План закупок КФ &quot;СК-Астана&quot;кор'!D84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КФ "СК-Астана"кор</vt:lpstr>
      <vt:lpstr>Отчет о совместимости</vt:lpstr>
      <vt:lpstr>'План закупок КФ "СК-Астана"кор'!Область_печати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ww</cp:lastModifiedBy>
  <cp:lastPrinted>2021-07-28T10:52:20Z</cp:lastPrinted>
  <dcterms:created xsi:type="dcterms:W3CDTF">1996-10-08T23:32:33Z</dcterms:created>
  <dcterms:modified xsi:type="dcterms:W3CDTF">2021-07-28T11:24:17Z</dcterms:modified>
  <cp:category/>
</cp:coreProperties>
</file>